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esktop\Dinerocurrante\Web\Ficheros\ARCHIVOS SUBIDOS\"/>
    </mc:Choice>
  </mc:AlternateContent>
  <xr:revisionPtr revIDLastSave="0" documentId="13_ncr:1_{2133D0EA-2706-4345-AC68-CBA512B65ADA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VIVIENDA" sheetId="1" r:id="rId1"/>
    <sheet name="Escenarios Rentabilidad" sheetId="2" r:id="rId2"/>
    <sheet name="PATRIMONIO creado" sheetId="3" r:id="rId3"/>
    <sheet name="Sheet2" sheetId="7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61ng8Ic6qMFRz9jm7jaLq/9GjRnoT6R2NxeZHWWpID4="/>
    </ext>
  </extLst>
</workbook>
</file>

<file path=xl/calcChain.xml><?xml version="1.0" encoding="utf-8"?>
<calcChain xmlns="http://schemas.openxmlformats.org/spreadsheetml/2006/main">
  <c r="B9" i="3" l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G90" i="2"/>
  <c r="G89" i="2"/>
  <c r="G88" i="2"/>
  <c r="G87" i="2"/>
  <c r="I86" i="2"/>
  <c r="H86" i="2"/>
  <c r="B56" i="2"/>
  <c r="B55" i="2"/>
  <c r="B54" i="2"/>
  <c r="I53" i="2"/>
  <c r="H53" i="2"/>
  <c r="G53" i="2"/>
  <c r="D53" i="2"/>
  <c r="B53" i="2"/>
  <c r="B52" i="2"/>
  <c r="B50" i="2"/>
  <c r="B49" i="2"/>
  <c r="B48" i="2"/>
  <c r="B47" i="2"/>
  <c r="B46" i="2"/>
  <c r="B45" i="2"/>
  <c r="D43" i="2"/>
  <c r="C43" i="2"/>
  <c r="B18" i="2"/>
  <c r="B17" i="2"/>
  <c r="B16" i="2"/>
  <c r="D15" i="2"/>
  <c r="C15" i="2"/>
  <c r="C53" i="2" s="1"/>
  <c r="B15" i="2"/>
  <c r="B14" i="2"/>
  <c r="B12" i="2"/>
  <c r="B11" i="2"/>
  <c r="C10" i="2"/>
  <c r="C29" i="2" s="1"/>
  <c r="B10" i="2"/>
  <c r="D9" i="2"/>
  <c r="D47" i="2" s="1"/>
  <c r="C9" i="2"/>
  <c r="C47" i="2" s="1"/>
  <c r="B9" i="2"/>
  <c r="B8" i="2"/>
  <c r="B6" i="2"/>
  <c r="C89" i="1"/>
  <c r="B89" i="1"/>
  <c r="C80" i="1"/>
  <c r="B80" i="1"/>
  <c r="B62" i="1"/>
  <c r="B61" i="1"/>
  <c r="B55" i="1"/>
  <c r="C55" i="1" s="1"/>
  <c r="H54" i="1"/>
  <c r="C45" i="2" s="1"/>
  <c r="D45" i="2" s="1"/>
  <c r="G54" i="1"/>
  <c r="B41" i="1" s="1"/>
  <c r="C35" i="1"/>
  <c r="D10" i="2" s="1"/>
  <c r="D82" i="2" s="1"/>
  <c r="C30" i="1"/>
  <c r="C29" i="1"/>
  <c r="C27" i="1"/>
  <c r="C26" i="1"/>
  <c r="C25" i="1"/>
  <c r="C24" i="1"/>
  <c r="C23" i="1"/>
  <c r="C22" i="1"/>
  <c r="C18" i="1"/>
  <c r="C13" i="1"/>
  <c r="E11" i="1"/>
  <c r="C8" i="1"/>
  <c r="C5" i="1"/>
  <c r="F12" i="1" s="1"/>
  <c r="C16" i="2" l="1"/>
  <c r="D74" i="2" s="1"/>
  <c r="C41" i="1"/>
  <c r="D16" i="2" s="1"/>
  <c r="I87" i="2" s="1"/>
  <c r="H87" i="2"/>
  <c r="B48" i="1"/>
  <c r="F13" i="1"/>
  <c r="D29" i="2"/>
  <c r="C68" i="2"/>
  <c r="C35" i="2"/>
  <c r="E13" i="1"/>
  <c r="C14" i="1"/>
  <c r="E14" i="1"/>
  <c r="F14" i="1"/>
  <c r="D68" i="2"/>
  <c r="C48" i="2"/>
  <c r="C26" i="2"/>
  <c r="D26" i="2" s="1"/>
  <c r="F11" i="1"/>
  <c r="E12" i="1"/>
  <c r="G55" i="1"/>
  <c r="C52" i="1" s="1"/>
  <c r="H55" i="1"/>
  <c r="D88" i="2" l="1"/>
  <c r="C54" i="2"/>
  <c r="D54" i="2"/>
  <c r="E74" i="2"/>
  <c r="C17" i="1"/>
  <c r="B63" i="1"/>
  <c r="H12" i="1"/>
  <c r="H93" i="2"/>
  <c r="C82" i="2"/>
  <c r="C74" i="2"/>
  <c r="D35" i="2"/>
  <c r="C48" i="1"/>
  <c r="D48" i="2"/>
  <c r="E68" i="2"/>
  <c r="H99" i="2" l="1"/>
  <c r="E82" i="2"/>
  <c r="I93" i="2"/>
  <c r="C88" i="2"/>
  <c r="B65" i="1"/>
  <c r="B66" i="1" s="1"/>
  <c r="B28" i="1" s="1"/>
  <c r="B64" i="1"/>
  <c r="I99" i="2"/>
  <c r="E88" i="2"/>
  <c r="B67" i="1" l="1"/>
  <c r="C28" i="1"/>
  <c r="C31" i="1" s="1"/>
  <c r="B42" i="1"/>
  <c r="B36" i="1"/>
  <c r="B31" i="1"/>
  <c r="B56" i="1" l="1"/>
  <c r="B50" i="1" s="1"/>
  <c r="C11" i="2"/>
  <c r="D69" i="2" s="1"/>
  <c r="B37" i="1"/>
  <c r="C36" i="1"/>
  <c r="C6" i="2"/>
  <c r="C57" i="1"/>
  <c r="C51" i="1" s="1"/>
  <c r="C56" i="1"/>
  <c r="B43" i="1"/>
  <c r="C42" i="1"/>
  <c r="D17" i="2" s="1"/>
  <c r="C17" i="2"/>
  <c r="D75" i="2" s="1"/>
  <c r="D6" i="2"/>
  <c r="C49" i="1"/>
  <c r="D89" i="2" l="1"/>
  <c r="I88" i="2"/>
  <c r="I89" i="2"/>
  <c r="C50" i="1"/>
  <c r="C86" i="1"/>
  <c r="C43" i="1"/>
  <c r="C18" i="2"/>
  <c r="D76" i="2" s="1"/>
  <c r="C12" i="2"/>
  <c r="D70" i="2" s="1"/>
  <c r="C37" i="1"/>
  <c r="B57" i="1"/>
  <c r="C44" i="2"/>
  <c r="C25" i="2"/>
  <c r="B86" i="1"/>
  <c r="D11" i="2"/>
  <c r="B49" i="1"/>
  <c r="B52" i="1"/>
  <c r="D25" i="2" l="1"/>
  <c r="C30" i="2"/>
  <c r="C36" i="2"/>
  <c r="C81" i="1"/>
  <c r="D18" i="2"/>
  <c r="H89" i="2"/>
  <c r="D83" i="2"/>
  <c r="H88" i="2"/>
  <c r="D44" i="2"/>
  <c r="C55" i="2"/>
  <c r="C49" i="2"/>
  <c r="D12" i="2"/>
  <c r="B81" i="1"/>
  <c r="B51" i="1"/>
  <c r="C94" i="1"/>
  <c r="C98" i="1" s="1"/>
  <c r="C99" i="1" s="1"/>
  <c r="C100" i="1" s="1"/>
  <c r="D2" i="3" s="1"/>
  <c r="D9" i="3" s="1"/>
  <c r="B94" i="1"/>
  <c r="B98" i="1" s="1"/>
  <c r="B99" i="1" s="1"/>
  <c r="B100" i="1" s="1"/>
  <c r="D10" i="3" l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F9" i="3"/>
  <c r="D84" i="2"/>
  <c r="H90" i="2"/>
  <c r="I90" i="2"/>
  <c r="D90" i="2"/>
  <c r="C50" i="2"/>
  <c r="D49" i="2"/>
  <c r="E69" i="2"/>
  <c r="D55" i="2"/>
  <c r="E75" i="2"/>
  <c r="C56" i="2"/>
  <c r="D30" i="2"/>
  <c r="C69" i="2"/>
  <c r="C31" i="2"/>
  <c r="C75" i="2"/>
  <c r="C37" i="2"/>
  <c r="D36" i="2"/>
  <c r="F10" i="3" l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H95" i="2"/>
  <c r="C83" i="2"/>
  <c r="H94" i="2"/>
  <c r="D31" i="2"/>
  <c r="C70" i="2"/>
  <c r="D50" i="2"/>
  <c r="E70" i="2"/>
  <c r="I95" i="2"/>
  <c r="C89" i="2"/>
  <c r="I94" i="2"/>
  <c r="E76" i="2"/>
  <c r="D56" i="2"/>
  <c r="E89" i="2"/>
  <c r="I101" i="2"/>
  <c r="I100" i="2"/>
  <c r="H100" i="2"/>
  <c r="E83" i="2"/>
  <c r="H101" i="2"/>
  <c r="D37" i="2"/>
  <c r="C76" i="2"/>
  <c r="E90" i="2" l="1"/>
  <c r="I102" i="2"/>
  <c r="E84" i="2"/>
  <c r="H102" i="2"/>
  <c r="H96" i="2"/>
  <c r="C84" i="2"/>
  <c r="C90" i="2"/>
  <c r="I96" i="2"/>
</calcChain>
</file>

<file path=xl/sharedStrings.xml><?xml version="1.0" encoding="utf-8"?>
<sst xmlns="http://schemas.openxmlformats.org/spreadsheetml/2006/main" count="201" uniqueCount="139">
  <si>
    <t>Instrucciones: Escribir solo en celdas verdes. Celdas azules seleccionar de la lista el valor que más se ajuste. No tocar las otras celdas.</t>
  </si>
  <si>
    <t>ADQUISICIÓN</t>
  </si>
  <si>
    <t>Compra</t>
  </si>
  <si>
    <t>Precio del piso (sin gastos de compraventa)</t>
  </si>
  <si>
    <t>ITP / IVA</t>
  </si>
  <si>
    <t>Gastos notaría, registro, etc.</t>
  </si>
  <si>
    <t>Comisión agencia</t>
  </si>
  <si>
    <t>Total precio adquisición</t>
  </si>
  <si>
    <t>Financiación</t>
  </si>
  <si>
    <t>Mínima inversión inicial</t>
  </si>
  <si>
    <t>Ahorro para entrada y gastos</t>
  </si>
  <si>
    <t>Ahorro para entrada y gastos + reforma</t>
  </si>
  <si>
    <t>Esfuerzo financiero</t>
  </si>
  <si>
    <t>Capital aportado compra inmueble</t>
  </si>
  <si>
    <t>Financiación 100% valor inmueble</t>
  </si>
  <si>
    <t>Anotar sueldo neto mensual</t>
  </si>
  <si>
    <t>Años amortizar hipoteca</t>
  </si>
  <si>
    <t>Financiación 90% valor inmueble</t>
  </si>
  <si>
    <t>Tasa de esfuerzo</t>
  </si>
  <si>
    <t>Interés hipoteca</t>
  </si>
  <si>
    <t>Financiación 80% valor inmueble</t>
  </si>
  <si>
    <t>Cuota hipotecaria mensual</t>
  </si>
  <si>
    <t>Financiación 70% valor inmueble</t>
  </si>
  <si>
    <t>Reforma</t>
  </si>
  <si>
    <t>Coste final adquisición</t>
  </si>
  <si>
    <t>Total capital invertido</t>
  </si>
  <si>
    <t>GASTOS MANTENIMIENTO</t>
  </si>
  <si>
    <t>Gastos mensuales mantenimiento</t>
  </si>
  <si>
    <t>Mensual</t>
  </si>
  <si>
    <t>Gasto anualizado</t>
  </si>
  <si>
    <t>Comunidad vecinos</t>
  </si>
  <si>
    <t xml:space="preserve">IBI </t>
  </si>
  <si>
    <t>Impuesto basuras</t>
  </si>
  <si>
    <t>Seguro (mensual)</t>
  </si>
  <si>
    <t>Internet</t>
  </si>
  <si>
    <t>Luz</t>
  </si>
  <si>
    <t>Intereses hipoteca (automático)</t>
  </si>
  <si>
    <t>Otros gastos A</t>
  </si>
  <si>
    <t>Otros gastos B</t>
  </si>
  <si>
    <t>COSTE TOTAL</t>
  </si>
  <si>
    <t>INGRESOS TRADICIONAL</t>
  </si>
  <si>
    <t>Ingresos</t>
  </si>
  <si>
    <t>Anualizado</t>
  </si>
  <si>
    <t>Cuota de alquiler bruta</t>
  </si>
  <si>
    <t>Ingreso menos gastos mantenimiento</t>
  </si>
  <si>
    <t>Free cashflow</t>
  </si>
  <si>
    <t>INGRESOS HABITACIONES</t>
  </si>
  <si>
    <t>Ingreso menos gastos mantenimiento + gasto habitación</t>
  </si>
  <si>
    <t>Free cashflow antes de impuestos (le restamos la cuota hipoteca)</t>
  </si>
  <si>
    <t>Resumen de la inversión - Tradicional</t>
  </si>
  <si>
    <t>COMPARACIÓN ALQUILER HABITACIONES</t>
  </si>
  <si>
    <t>Simulación Alquiler habitaciones</t>
  </si>
  <si>
    <t>Ingreso mensual</t>
  </si>
  <si>
    <t>Gasto específico mensual por habitación (se sumará al gasto de mantenimiento total del piso) - Luz, agua, etc.</t>
  </si>
  <si>
    <t>Inversión extra para preparar habitación</t>
  </si>
  <si>
    <t>RENTABILIDAD</t>
  </si>
  <si>
    <t>Tradicional</t>
  </si>
  <si>
    <t>Habitaciones</t>
  </si>
  <si>
    <t>Habitación 1</t>
  </si>
  <si>
    <t>Rentabilidad BRUTA</t>
  </si>
  <si>
    <t>Habitación 2</t>
  </si>
  <si>
    <t>Rentabilidad anual NETA</t>
  </si>
  <si>
    <t>Habitación 3</t>
  </si>
  <si>
    <t>ROCE (return on capital employed)</t>
  </si>
  <si>
    <t>Habitación 4</t>
  </si>
  <si>
    <t>CASH ON CASH</t>
  </si>
  <si>
    <t>Habitación 5</t>
  </si>
  <si>
    <t>PER INMUEBLE</t>
  </si>
  <si>
    <t>Habitación 6</t>
  </si>
  <si>
    <t>CASHFLOW</t>
  </si>
  <si>
    <t>TOTAL mensual</t>
  </si>
  <si>
    <t>Capital aportado</t>
  </si>
  <si>
    <t>TOTAL ANUAL</t>
  </si>
  <si>
    <t>El beneficio mensual (sin contar la cuota de hipoteca)</t>
  </si>
  <si>
    <t>Cash flow mensual (dinero que nos queda en el bolsillo)</t>
  </si>
  <si>
    <t>FINANCIACIÓN</t>
  </si>
  <si>
    <t>Años de hipoteca</t>
  </si>
  <si>
    <t>Interés de la hipoteca</t>
  </si>
  <si>
    <t>Cuota hipoteca</t>
  </si>
  <si>
    <t>Coste final del piso, contando intereses</t>
  </si>
  <si>
    <t>INTERESES TOTALES</t>
  </si>
  <si>
    <t>INTERESES MENSUALES</t>
  </si>
  <si>
    <t>DEVOLUCIÓN CAPITAL MENSUAL</t>
  </si>
  <si>
    <t>REVALORIZACIÓN</t>
  </si>
  <si>
    <t>Rentabilidad de la inversión</t>
  </si>
  <si>
    <t>Revalorización anual immueble</t>
  </si>
  <si>
    <t>Años revalorización</t>
  </si>
  <si>
    <t>Valor inmueble</t>
  </si>
  <si>
    <t>Valor del piso tras periodo y % revalorización anual especificados</t>
  </si>
  <si>
    <t>Free Cashflow generado</t>
  </si>
  <si>
    <t>Ingresos líquidos del alquiler descontando gastos y cuota hipoteca en periodo de tiempo X</t>
  </si>
  <si>
    <t>Calculadora para la renta - Cashflow neto</t>
  </si>
  <si>
    <t>Info para incluir en la declaración</t>
  </si>
  <si>
    <t>Total ingresos netos, descontando gastos anuales</t>
  </si>
  <si>
    <t>Parte bonificada (introducir %)</t>
  </si>
  <si>
    <t>8- Parte de los ingresos tras gastos que son bonificados y no habría que declarar. Depende de cada país, perfil inquilino, etc. Por norma general en España, si es vivienda habitual  está libre de impuestos el 50% de ingresos netos.</t>
  </si>
  <si>
    <t>Aquí se incluye el MAYOR entre: el valor catastral (sin contar suelo) o valor de adquisición (sin contar suelo)</t>
  </si>
  <si>
    <t>Total deducible por amortización</t>
  </si>
  <si>
    <t>3% amortización inmueble Menos valor suelo</t>
  </si>
  <si>
    <t>10% mobiliario amortización durante 10 años</t>
  </si>
  <si>
    <t>Total que se acabará declarando</t>
  </si>
  <si>
    <t>Ingreso que se considerará en la declaración</t>
  </si>
  <si>
    <t>9- Esto es lo que se considerará en la declaración en el momento de calcular el IRPF a deducir.</t>
  </si>
  <si>
    <t>Total ingreso neto, que nos quedaría</t>
  </si>
  <si>
    <t>Tramo IRPF (normalmente empieza con un 19%)</t>
  </si>
  <si>
    <t>Lo que nos quitarán de IRPF (depende de todos tus otros ingresos de rentas del trabajo)</t>
  </si>
  <si>
    <t>Total NETO final (Anual)</t>
  </si>
  <si>
    <t>Ingreso final NETO anual</t>
  </si>
  <si>
    <t>Total NETO final (Mensual)</t>
  </si>
  <si>
    <t>Ingreso final NETO al mes</t>
  </si>
  <si>
    <t>Cash mensual que nos quedará hasta pagar préstamo</t>
  </si>
  <si>
    <t>Escenario - Moderado</t>
  </si>
  <si>
    <t>Escenario - Pesimista</t>
  </si>
  <si>
    <t>Incremento costes</t>
  </si>
  <si>
    <t>Reducción ingresos</t>
  </si>
  <si>
    <t>COSTE</t>
  </si>
  <si>
    <t>COSTE EXTRA HABITACIONES</t>
  </si>
  <si>
    <t xml:space="preserve">INGRESOS TRADICIONAL </t>
  </si>
  <si>
    <t>Escenario Optimista</t>
  </si>
  <si>
    <t>Reducción costes</t>
  </si>
  <si>
    <t>Aumento ingresos</t>
  </si>
  <si>
    <t>COSTES</t>
  </si>
  <si>
    <t>Escenario pesimista</t>
  </si>
  <si>
    <t>Escenario moderado</t>
  </si>
  <si>
    <t>Escenario optimista</t>
  </si>
  <si>
    <t>Moderado</t>
  </si>
  <si>
    <t>Pesimista</t>
  </si>
  <si>
    <t>Optimista</t>
  </si>
  <si>
    <t>Valor inmueble tras reforma</t>
  </si>
  <si>
    <t>Cashflow neto mes</t>
  </si>
  <si>
    <t>Revalorización media anual</t>
  </si>
  <si>
    <t>Subida anual</t>
  </si>
  <si>
    <t>Rentabilidad inversión cashflow</t>
  </si>
  <si>
    <t>Año</t>
  </si>
  <si>
    <t>Valor estimado del inmueble</t>
  </si>
  <si>
    <t>Cashflow anual</t>
  </si>
  <si>
    <t>Reinvirtiendo cashflow - Acumulado</t>
  </si>
  <si>
    <t>Interés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</si>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</sst>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b/>
      <sz val="36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5"/>
      <name val="Arial"/>
      <family val="2"/>
    </font>
    <font>
      <b/>
      <sz val="10"/>
      <color rgb="FFEA4335"/>
      <name val="Arial"/>
      <family val="2"/>
    </font>
    <font>
      <sz val="10"/>
      <color theme="0"/>
      <name val="Arial"/>
      <family val="2"/>
    </font>
    <font>
      <b/>
      <sz val="10"/>
      <color rgb="FF666666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7"/>
      <name val="Arial"/>
      <family val="2"/>
    </font>
    <font>
      <b/>
      <sz val="12"/>
      <color theme="5"/>
      <name val="Arial"/>
      <family val="2"/>
    </font>
    <font>
      <b/>
      <sz val="12"/>
      <color rgb="FF00B050"/>
      <name val="Arial"/>
      <family val="2"/>
    </font>
    <font>
      <sz val="10"/>
      <color theme="1"/>
      <name val="Arial"/>
      <family val="2"/>
      <scheme val="minor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0"/>
      <color rgb="FFFFFFFF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D2F1DA"/>
        <bgColor rgb="FFD2F1DA"/>
      </patternFill>
    </fill>
    <fill>
      <patternFill patternType="solid">
        <fgColor rgb="FFFFFF00"/>
        <bgColor rgb="FFFFFF00"/>
      </patternFill>
    </fill>
    <fill>
      <patternFill patternType="solid">
        <fgColor rgb="FFC22114"/>
        <bgColor rgb="FFC22114"/>
      </patternFill>
    </fill>
    <fill>
      <patternFill patternType="solid">
        <fgColor rgb="FFD9E6FC"/>
        <bgColor rgb="FFD9E6FC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EFEFEF"/>
        <bgColor rgb="FFEFEFEF"/>
      </patternFill>
    </fill>
    <fill>
      <patternFill patternType="solid">
        <fgColor theme="4"/>
        <bgColor theme="4"/>
      </patternFill>
    </fill>
    <fill>
      <patternFill patternType="solid">
        <fgColor rgb="FF666666"/>
        <bgColor rgb="FF666666"/>
      </patternFill>
    </fill>
    <fill>
      <patternFill patternType="solid">
        <fgColor rgb="FFFF9900"/>
        <bgColor rgb="FFFF9900"/>
      </patternFill>
    </fill>
    <fill>
      <patternFill patternType="solid">
        <fgColor rgb="FFB3CEFA"/>
        <bgColor rgb="FFB3CEFA"/>
      </patternFill>
    </fill>
    <fill>
      <patternFill patternType="solid">
        <fgColor theme="9"/>
        <bgColor theme="9"/>
      </patternFill>
    </fill>
    <fill>
      <patternFill patternType="solid">
        <fgColor rgb="FF7030A0"/>
        <bgColor rgb="FF7030A0"/>
      </patternFill>
    </fill>
    <fill>
      <patternFill patternType="solid">
        <fgColor theme="6"/>
        <bgColor theme="6"/>
      </patternFill>
    </fill>
    <fill>
      <patternFill patternType="solid">
        <fgColor rgb="FFA5A5A5"/>
        <bgColor rgb="FFA5A5A5"/>
      </patternFill>
    </fill>
    <fill>
      <patternFill patternType="solid">
        <fgColor theme="7"/>
        <bgColor theme="7"/>
      </patternFill>
    </fill>
    <fill>
      <patternFill patternType="solid">
        <fgColor rgb="FF8FD7DC"/>
        <bgColor rgb="FF8FD7DC"/>
      </patternFill>
    </fill>
    <fill>
      <patternFill patternType="solid">
        <fgColor rgb="FFFCD668"/>
        <bgColor rgb="FFFCD668"/>
      </patternFill>
    </fill>
    <fill>
      <patternFill patternType="solid">
        <fgColor rgb="FFD8D8D8"/>
        <bgColor rgb="FFD8D8D8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FF00FF"/>
        <bgColor rgb="FFFF00FF"/>
      </patternFill>
    </fill>
    <fill>
      <patternFill patternType="solid">
        <fgColor rgb="FF0000FF"/>
        <bgColor rgb="FF0000FF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4A86E8"/>
        <bgColor rgb="FF4A86E8"/>
      </patternFill>
    </fill>
    <fill>
      <patternFill patternType="solid">
        <fgColor rgb="FFFCE5CD"/>
        <bgColor rgb="FFFCE5CD"/>
      </patternFill>
    </fill>
    <fill>
      <patternFill patternType="solid">
        <fgColor rgb="FF00B0F0"/>
        <bgColor rgb="FF00FF00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FFFF"/>
      </left>
      <right/>
      <top style="thin">
        <color rgb="FF00FFFF"/>
      </top>
      <bottom/>
      <diagonal/>
    </border>
    <border>
      <left/>
      <right/>
      <top style="thin">
        <color rgb="FF00FFFF"/>
      </top>
      <bottom/>
      <diagonal/>
    </border>
    <border>
      <left/>
      <right style="thin">
        <color rgb="FF00FFFF"/>
      </right>
      <top style="thin">
        <color rgb="FF00FFFF"/>
      </top>
      <bottom/>
      <diagonal/>
    </border>
    <border>
      <left style="thin">
        <color rgb="FF00FFFF"/>
      </left>
      <right/>
      <top/>
      <bottom/>
      <diagonal/>
    </border>
    <border>
      <left/>
      <right style="thin">
        <color rgb="FF00FFFF"/>
      </right>
      <top/>
      <bottom/>
      <diagonal/>
    </border>
    <border>
      <left style="thin">
        <color rgb="FF00FFFF"/>
      </left>
      <right/>
      <top/>
      <bottom/>
      <diagonal/>
    </border>
    <border>
      <left/>
      <right style="thin">
        <color rgb="FF00FFFF"/>
      </right>
      <top/>
      <bottom/>
      <diagonal/>
    </border>
    <border>
      <left style="thin">
        <color rgb="FF00FFFF"/>
      </left>
      <right/>
      <top style="medium">
        <color rgb="FF000000"/>
      </top>
      <bottom/>
      <diagonal/>
    </border>
    <border>
      <left/>
      <right style="thin">
        <color rgb="FF00FFFF"/>
      </right>
      <top style="medium">
        <color rgb="FF000000"/>
      </top>
      <bottom/>
      <diagonal/>
    </border>
    <border>
      <left style="thin">
        <color rgb="FF00FFFF"/>
      </left>
      <right/>
      <top/>
      <bottom style="medium">
        <color rgb="FF000000"/>
      </bottom>
      <diagonal/>
    </border>
    <border>
      <left/>
      <right style="thin">
        <color rgb="FF00FFFF"/>
      </right>
      <top/>
      <bottom style="medium">
        <color rgb="FF000000"/>
      </bottom>
      <diagonal/>
    </border>
    <border>
      <left style="thin">
        <color rgb="FF00FFFF"/>
      </left>
      <right/>
      <top/>
      <bottom style="thin">
        <color rgb="FF00FFFF"/>
      </bottom>
      <diagonal/>
    </border>
    <border>
      <left/>
      <right/>
      <top/>
      <bottom style="thin">
        <color rgb="FF00FFFF"/>
      </bottom>
      <diagonal/>
    </border>
    <border>
      <left/>
      <right style="thin">
        <color rgb="FF00FFFF"/>
      </right>
      <top/>
      <bottom style="thin">
        <color rgb="FF00FFFF"/>
      </bottom>
      <diagonal/>
    </border>
    <border>
      <left style="thin">
        <color rgb="FFFF00FF"/>
      </left>
      <right/>
      <top style="thin">
        <color rgb="FFFF00FF"/>
      </top>
      <bottom/>
      <diagonal/>
    </border>
    <border>
      <left/>
      <right/>
      <top style="thin">
        <color rgb="FFFF00FF"/>
      </top>
      <bottom/>
      <diagonal/>
    </border>
    <border>
      <left/>
      <right style="thin">
        <color rgb="FFFF00FF"/>
      </right>
      <top style="thin">
        <color rgb="FFFF00FF"/>
      </top>
      <bottom/>
      <diagonal/>
    </border>
    <border>
      <left style="thin">
        <color rgb="FFFF00FF"/>
      </left>
      <right/>
      <top/>
      <bottom/>
      <diagonal/>
    </border>
    <border>
      <left/>
      <right style="thin">
        <color rgb="FFFF00FF"/>
      </right>
      <top/>
      <bottom/>
      <diagonal/>
    </border>
    <border>
      <left style="thin">
        <color rgb="FFFF00FF"/>
      </left>
      <right/>
      <top/>
      <bottom/>
      <diagonal/>
    </border>
    <border>
      <left/>
      <right style="thin">
        <color rgb="FFFF00FF"/>
      </right>
      <top/>
      <bottom/>
      <diagonal/>
    </border>
    <border>
      <left style="thin">
        <color rgb="FFFF00FF"/>
      </left>
      <right/>
      <top style="medium">
        <color rgb="FF000000"/>
      </top>
      <bottom/>
      <diagonal/>
    </border>
    <border>
      <left/>
      <right style="thin">
        <color rgb="FFFF00FF"/>
      </right>
      <top style="medium">
        <color rgb="FF000000"/>
      </top>
      <bottom/>
      <diagonal/>
    </border>
    <border>
      <left style="thin">
        <color rgb="FFFF00FF"/>
      </left>
      <right/>
      <top/>
      <bottom style="medium">
        <color rgb="FF000000"/>
      </bottom>
      <diagonal/>
    </border>
    <border>
      <left/>
      <right style="thin">
        <color rgb="FFFF00FF"/>
      </right>
      <top/>
      <bottom style="medium">
        <color rgb="FF000000"/>
      </bottom>
      <diagonal/>
    </border>
    <border>
      <left style="thin">
        <color rgb="FFFF00FF"/>
      </left>
      <right/>
      <top/>
      <bottom style="thin">
        <color rgb="FFFF00FF"/>
      </bottom>
      <diagonal/>
    </border>
    <border>
      <left/>
      <right/>
      <top/>
      <bottom style="thin">
        <color rgb="FFFF00FF"/>
      </bottom>
      <diagonal/>
    </border>
    <border>
      <left/>
      <right style="thin">
        <color rgb="FFFF00FF"/>
      </right>
      <top/>
      <bottom style="thin">
        <color rgb="FFFF00FF"/>
      </bottom>
      <diagonal/>
    </border>
    <border>
      <left style="thin">
        <color rgb="FF00FF00"/>
      </left>
      <right/>
      <top style="thin">
        <color rgb="FF00FF00"/>
      </top>
      <bottom/>
      <diagonal/>
    </border>
    <border>
      <left/>
      <right/>
      <top style="thin">
        <color rgb="FF00FF00"/>
      </top>
      <bottom/>
      <diagonal/>
    </border>
    <border>
      <left/>
      <right style="thin">
        <color rgb="FF00FF00"/>
      </right>
      <top style="thin">
        <color rgb="FF00FF00"/>
      </top>
      <bottom/>
      <diagonal/>
    </border>
    <border>
      <left style="thin">
        <color rgb="FF00FF00"/>
      </left>
      <right/>
      <top/>
      <bottom/>
      <diagonal/>
    </border>
    <border>
      <left/>
      <right style="thin">
        <color rgb="FF00FF00"/>
      </right>
      <top/>
      <bottom/>
      <diagonal/>
    </border>
    <border>
      <left style="thin">
        <color rgb="FF00FF00"/>
      </left>
      <right/>
      <top/>
      <bottom/>
      <diagonal/>
    </border>
    <border>
      <left/>
      <right style="thin">
        <color rgb="FF00FF00"/>
      </right>
      <top/>
      <bottom/>
      <diagonal/>
    </border>
    <border>
      <left style="thin">
        <color rgb="FF00FF00"/>
      </left>
      <right/>
      <top style="medium">
        <color rgb="FF000000"/>
      </top>
      <bottom/>
      <diagonal/>
    </border>
    <border>
      <left/>
      <right style="thin">
        <color rgb="FF00FF00"/>
      </right>
      <top style="medium">
        <color rgb="FF000000"/>
      </top>
      <bottom/>
      <diagonal/>
    </border>
    <border>
      <left style="thin">
        <color rgb="FF00FF00"/>
      </left>
      <right/>
      <top/>
      <bottom style="medium">
        <color rgb="FF000000"/>
      </bottom>
      <diagonal/>
    </border>
    <border>
      <left/>
      <right style="thin">
        <color rgb="FF00FF00"/>
      </right>
      <top/>
      <bottom style="medium">
        <color rgb="FF000000"/>
      </bottom>
      <diagonal/>
    </border>
    <border>
      <left style="thin">
        <color rgb="FF00FF00"/>
      </left>
      <right/>
      <top/>
      <bottom style="thin">
        <color rgb="FF00FF00"/>
      </bottom>
      <diagonal/>
    </border>
    <border>
      <left/>
      <right/>
      <top/>
      <bottom style="thin">
        <color rgb="FF00FF00"/>
      </bottom>
      <diagonal/>
    </border>
    <border>
      <left/>
      <right style="thin">
        <color rgb="FF00FF00"/>
      </right>
      <top/>
      <bottom style="thin">
        <color rgb="FF00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0" fontId="5" fillId="4" borderId="2" xfId="0" applyFont="1" applyFill="1" applyBorder="1"/>
    <xf numFmtId="0" fontId="6" fillId="0" borderId="3" xfId="0" applyFont="1" applyBorder="1"/>
    <xf numFmtId="0" fontId="6" fillId="0" borderId="4" xfId="0" applyFont="1" applyBorder="1"/>
    <xf numFmtId="0" fontId="7" fillId="0" borderId="0" xfId="0" applyFont="1" applyAlignment="1">
      <alignment horizontal="right"/>
    </xf>
    <xf numFmtId="0" fontId="8" fillId="5" borderId="5" xfId="0" applyFont="1" applyFill="1" applyBorder="1"/>
    <xf numFmtId="0" fontId="9" fillId="6" borderId="6" xfId="0" applyFont="1" applyFill="1" applyBorder="1"/>
    <xf numFmtId="9" fontId="8" fillId="7" borderId="1" xfId="0" applyNumberFormat="1" applyFont="1" applyFill="1" applyBorder="1"/>
    <xf numFmtId="0" fontId="3" fillId="8" borderId="6" xfId="0" applyFont="1" applyFill="1" applyBorder="1"/>
    <xf numFmtId="0" fontId="7" fillId="0" borderId="0" xfId="0" applyFont="1"/>
    <xf numFmtId="0" fontId="10" fillId="6" borderId="6" xfId="0" applyFont="1" applyFill="1" applyBorder="1"/>
    <xf numFmtId="0" fontId="8" fillId="5" borderId="7" xfId="0" applyFont="1" applyFill="1" applyBorder="1"/>
    <xf numFmtId="0" fontId="6" fillId="0" borderId="8" xfId="0" applyFont="1" applyBorder="1"/>
    <xf numFmtId="0" fontId="3" fillId="8" borderId="9" xfId="0" applyFont="1" applyFill="1" applyBorder="1"/>
    <xf numFmtId="0" fontId="11" fillId="9" borderId="10" xfId="0" applyFont="1" applyFill="1" applyBorder="1" applyAlignment="1">
      <alignment horizontal="center"/>
    </xf>
    <xf numFmtId="0" fontId="11" fillId="9" borderId="10" xfId="0" applyFont="1" applyFill="1" applyBorder="1"/>
    <xf numFmtId="0" fontId="11" fillId="4" borderId="10" xfId="0" applyFont="1" applyFill="1" applyBorder="1"/>
    <xf numFmtId="0" fontId="9" fillId="6" borderId="1" xfId="0" applyFont="1" applyFill="1" applyBorder="1"/>
    <xf numFmtId="0" fontId="6" fillId="5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8" fillId="6" borderId="12" xfId="0" applyFont="1" applyFill="1" applyBorder="1"/>
    <xf numFmtId="0" fontId="8" fillId="7" borderId="1" xfId="0" applyFont="1" applyFill="1" applyBorder="1"/>
    <xf numFmtId="10" fontId="8" fillId="7" borderId="1" xfId="0" applyNumberFormat="1" applyFont="1" applyFill="1" applyBorder="1"/>
    <xf numFmtId="0" fontId="12" fillId="10" borderId="1" xfId="0" applyFont="1" applyFill="1" applyBorder="1"/>
    <xf numFmtId="0" fontId="3" fillId="0" borderId="8" xfId="0" applyFont="1" applyBorder="1"/>
    <xf numFmtId="0" fontId="10" fillId="6" borderId="13" xfId="0" applyFont="1" applyFill="1" applyBorder="1"/>
    <xf numFmtId="0" fontId="9" fillId="8" borderId="6" xfId="0" applyFont="1" applyFill="1" applyBorder="1"/>
    <xf numFmtId="0" fontId="9" fillId="0" borderId="14" xfId="0" applyFont="1" applyBorder="1"/>
    <xf numFmtId="0" fontId="3" fillId="11" borderId="15" xfId="0" applyFont="1" applyFill="1" applyBorder="1"/>
    <xf numFmtId="0" fontId="3" fillId="11" borderId="13" xfId="0" applyFont="1" applyFill="1" applyBorder="1"/>
    <xf numFmtId="0" fontId="8" fillId="6" borderId="1" xfId="0" applyFont="1" applyFill="1" applyBorder="1"/>
    <xf numFmtId="0" fontId="8" fillId="12" borderId="5" xfId="0" applyFont="1" applyFill="1" applyBorder="1"/>
    <xf numFmtId="1" fontId="8" fillId="12" borderId="1" xfId="0" applyNumberFormat="1" applyFont="1" applyFill="1" applyBorder="1"/>
    <xf numFmtId="0" fontId="8" fillId="6" borderId="16" xfId="0" applyFont="1" applyFill="1" applyBorder="1"/>
    <xf numFmtId="0" fontId="5" fillId="9" borderId="5" xfId="0" applyFont="1" applyFill="1" applyBorder="1"/>
    <xf numFmtId="0" fontId="5" fillId="9" borderId="1" xfId="0" applyFont="1" applyFill="1" applyBorder="1"/>
    <xf numFmtId="1" fontId="3" fillId="8" borderId="6" xfId="0" applyNumberFormat="1" applyFont="1" applyFill="1" applyBorder="1"/>
    <xf numFmtId="1" fontId="3" fillId="8" borderId="1" xfId="0" applyNumberFormat="1" applyFont="1" applyFill="1" applyBorder="1"/>
    <xf numFmtId="0" fontId="6" fillId="0" borderId="0" xfId="0" applyFont="1" applyAlignment="1">
      <alignment horizontal="right"/>
    </xf>
    <xf numFmtId="0" fontId="6" fillId="5" borderId="7" xfId="0" applyFont="1" applyFill="1" applyBorder="1"/>
    <xf numFmtId="1" fontId="3" fillId="8" borderId="16" xfId="0" applyNumberFormat="1" applyFont="1" applyFill="1" applyBorder="1"/>
    <xf numFmtId="1" fontId="3" fillId="8" borderId="9" xfId="0" applyNumberFormat="1" applyFont="1" applyFill="1" applyBorder="1"/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5" fillId="15" borderId="1" xfId="0" applyFont="1" applyFill="1" applyBorder="1" applyAlignment="1">
      <alignment horizontal="center" wrapText="1"/>
    </xf>
    <xf numFmtId="0" fontId="16" fillId="12" borderId="11" xfId="0" applyFont="1" applyFill="1" applyBorder="1"/>
    <xf numFmtId="1" fontId="17" fillId="12" borderId="11" xfId="0" applyNumberFormat="1" applyFont="1" applyFill="1" applyBorder="1" applyAlignment="1">
      <alignment horizontal="center"/>
    </xf>
    <xf numFmtId="0" fontId="15" fillId="0" borderId="11" xfId="0" applyFont="1" applyBorder="1"/>
    <xf numFmtId="0" fontId="6" fillId="6" borderId="11" xfId="0" applyFont="1" applyFill="1" applyBorder="1"/>
    <xf numFmtId="0" fontId="6" fillId="0" borderId="11" xfId="0" applyFont="1" applyBorder="1"/>
    <xf numFmtId="0" fontId="17" fillId="0" borderId="11" xfId="0" applyFont="1" applyBorder="1"/>
    <xf numFmtId="10" fontId="16" fillId="0" borderId="11" xfId="0" applyNumberFormat="1" applyFont="1" applyBorder="1"/>
    <xf numFmtId="10" fontId="17" fillId="0" borderId="21" xfId="0" applyNumberFormat="1" applyFont="1" applyBorder="1"/>
    <xf numFmtId="10" fontId="17" fillId="3" borderId="11" xfId="0" applyNumberFormat="1" applyFont="1" applyFill="1" applyBorder="1"/>
    <xf numFmtId="1" fontId="16" fillId="3" borderId="11" xfId="0" applyNumberFormat="1" applyFont="1" applyFill="1" applyBorder="1"/>
    <xf numFmtId="0" fontId="16" fillId="12" borderId="22" xfId="0" applyFont="1" applyFill="1" applyBorder="1"/>
    <xf numFmtId="0" fontId="6" fillId="3" borderId="11" xfId="0" applyFont="1" applyFill="1" applyBorder="1"/>
    <xf numFmtId="0" fontId="6" fillId="16" borderId="11" xfId="0" applyFont="1" applyFill="1" applyBorder="1"/>
    <xf numFmtId="0" fontId="18" fillId="0" borderId="11" xfId="0" applyFont="1" applyBorder="1"/>
    <xf numFmtId="164" fontId="17" fillId="0" borderId="11" xfId="0" applyNumberFormat="1" applyFont="1" applyBorder="1"/>
    <xf numFmtId="164" fontId="19" fillId="0" borderId="11" xfId="0" applyNumberFormat="1" applyFont="1" applyBorder="1"/>
    <xf numFmtId="0" fontId="17" fillId="0" borderId="0" xfId="0" applyFont="1"/>
    <xf numFmtId="1" fontId="17" fillId="0" borderId="0" xfId="0" applyNumberFormat="1" applyFont="1"/>
    <xf numFmtId="0" fontId="17" fillId="12" borderId="11" xfId="0" applyFont="1" applyFill="1" applyBorder="1"/>
    <xf numFmtId="10" fontId="17" fillId="0" borderId="11" xfId="0" applyNumberFormat="1" applyFont="1" applyBorder="1"/>
    <xf numFmtId="1" fontId="17" fillId="0" borderId="11" xfId="0" applyNumberFormat="1" applyFont="1" applyBorder="1"/>
    <xf numFmtId="1" fontId="20" fillId="0" borderId="11" xfId="0" applyNumberFormat="1" applyFont="1" applyBorder="1"/>
    <xf numFmtId="1" fontId="21" fillId="0" borderId="11" xfId="0" applyNumberFormat="1" applyFont="1" applyBorder="1"/>
    <xf numFmtId="0" fontId="6" fillId="17" borderId="1" xfId="0" applyFont="1" applyFill="1" applyBorder="1"/>
    <xf numFmtId="0" fontId="16" fillId="18" borderId="1" xfId="0" applyFont="1" applyFill="1" applyBorder="1"/>
    <xf numFmtId="0" fontId="15" fillId="19" borderId="1" xfId="0" applyFont="1" applyFill="1" applyBorder="1" applyAlignment="1">
      <alignment horizontal="center"/>
    </xf>
    <xf numFmtId="0" fontId="3" fillId="0" borderId="23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/>
    <xf numFmtId="0" fontId="8" fillId="0" borderId="24" xfId="0" applyFont="1" applyBorder="1"/>
    <xf numFmtId="0" fontId="8" fillId="0" borderId="25" xfId="0" applyFont="1" applyBorder="1"/>
    <xf numFmtId="1" fontId="16" fillId="3" borderId="1" xfId="0" applyNumberFormat="1" applyFont="1" applyFill="1" applyBorder="1"/>
    <xf numFmtId="0" fontId="6" fillId="0" borderId="25" xfId="0" applyFont="1" applyBorder="1"/>
    <xf numFmtId="0" fontId="8" fillId="0" borderId="26" xfId="0" applyFont="1" applyBorder="1"/>
    <xf numFmtId="1" fontId="16" fillId="3" borderId="16" xfId="0" applyNumberFormat="1" applyFont="1" applyFill="1" applyBorder="1"/>
    <xf numFmtId="0" fontId="6" fillId="0" borderId="14" xfId="0" applyFont="1" applyBorder="1"/>
    <xf numFmtId="0" fontId="3" fillId="3" borderId="2" xfId="0" applyFont="1" applyFill="1" applyBorder="1"/>
    <xf numFmtId="0" fontId="6" fillId="0" borderId="24" xfId="0" applyFont="1" applyBorder="1"/>
    <xf numFmtId="9" fontId="8" fillId="6" borderId="1" xfId="0" applyNumberFormat="1" applyFont="1" applyFill="1" applyBorder="1"/>
    <xf numFmtId="0" fontId="7" fillId="0" borderId="25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24" xfId="0" applyFont="1" applyBorder="1" applyAlignment="1">
      <alignment wrapText="1"/>
    </xf>
    <xf numFmtId="0" fontId="3" fillId="8" borderId="16" xfId="0" applyFont="1" applyFill="1" applyBorder="1"/>
    <xf numFmtId="0" fontId="22" fillId="0" borderId="0" xfId="0" applyFont="1"/>
    <xf numFmtId="0" fontId="15" fillId="3" borderId="2" xfId="0" applyFont="1" applyFill="1" applyBorder="1"/>
    <xf numFmtId="1" fontId="15" fillId="20" borderId="1" xfId="0" applyNumberFormat="1" applyFont="1" applyFill="1" applyBorder="1"/>
    <xf numFmtId="0" fontId="23" fillId="0" borderId="25" xfId="0" applyFont="1" applyBorder="1"/>
    <xf numFmtId="0" fontId="23" fillId="0" borderId="0" xfId="0" applyFont="1"/>
    <xf numFmtId="0" fontId="15" fillId="3" borderId="5" xfId="0" applyFont="1" applyFill="1" applyBorder="1"/>
    <xf numFmtId="0" fontId="6" fillId="0" borderId="26" xfId="0" applyFont="1" applyBorder="1"/>
    <xf numFmtId="164" fontId="6" fillId="3" borderId="16" xfId="0" applyNumberFormat="1" applyFont="1" applyFill="1" applyBorder="1"/>
    <xf numFmtId="0" fontId="6" fillId="0" borderId="0" xfId="0" applyFont="1"/>
    <xf numFmtId="0" fontId="24" fillId="0" borderId="0" xfId="0" applyFont="1"/>
    <xf numFmtId="0" fontId="25" fillId="7" borderId="27" xfId="0" applyFont="1" applyFill="1" applyBorder="1"/>
    <xf numFmtId="0" fontId="22" fillId="0" borderId="28" xfId="0" applyFont="1" applyBorder="1"/>
    <xf numFmtId="0" fontId="22" fillId="0" borderId="29" xfId="0" applyFont="1" applyBorder="1"/>
    <xf numFmtId="0" fontId="22" fillId="0" borderId="30" xfId="0" applyFont="1" applyBorder="1"/>
    <xf numFmtId="0" fontId="22" fillId="0" borderId="31" xfId="0" applyFont="1" applyBorder="1"/>
    <xf numFmtId="0" fontId="25" fillId="21" borderId="0" xfId="0" applyFont="1" applyFill="1" applyAlignment="1">
      <alignment horizontal="center"/>
    </xf>
    <xf numFmtId="0" fontId="25" fillId="21" borderId="31" xfId="0" applyFont="1" applyFill="1" applyBorder="1" applyAlignment="1">
      <alignment horizontal="center"/>
    </xf>
    <xf numFmtId="0" fontId="5" fillId="22" borderId="32" xfId="0" applyFont="1" applyFill="1" applyBorder="1"/>
    <xf numFmtId="0" fontId="5" fillId="22" borderId="1" xfId="0" applyFont="1" applyFill="1" applyBorder="1"/>
    <xf numFmtId="0" fontId="5" fillId="22" borderId="33" xfId="0" applyFont="1" applyFill="1" applyBorder="1"/>
    <xf numFmtId="0" fontId="3" fillId="3" borderId="32" xfId="0" applyFont="1" applyFill="1" applyBorder="1"/>
    <xf numFmtId="0" fontId="5" fillId="4" borderId="34" xfId="0" applyFont="1" applyFill="1" applyBorder="1"/>
    <xf numFmtId="0" fontId="3" fillId="11" borderId="35" xfId="0" applyFont="1" applyFill="1" applyBorder="1"/>
    <xf numFmtId="0" fontId="8" fillId="5" borderId="32" xfId="0" applyFont="1" applyFill="1" applyBorder="1"/>
    <xf numFmtId="0" fontId="8" fillId="21" borderId="1" xfId="0" applyFont="1" applyFill="1" applyBorder="1"/>
    <xf numFmtId="1" fontId="3" fillId="8" borderId="33" xfId="0" applyNumberFormat="1" applyFont="1" applyFill="1" applyBorder="1"/>
    <xf numFmtId="0" fontId="6" fillId="5" borderId="36" xfId="0" applyFont="1" applyFill="1" applyBorder="1"/>
    <xf numFmtId="1" fontId="3" fillId="8" borderId="37" xfId="0" applyNumberFormat="1" applyFont="1" applyFill="1" applyBorder="1"/>
    <xf numFmtId="0" fontId="6" fillId="5" borderId="38" xfId="0" applyFont="1" applyFill="1" applyBorder="1"/>
    <xf numFmtId="1" fontId="3" fillId="8" borderId="39" xfId="0" applyNumberFormat="1" applyFont="1" applyFill="1" applyBorder="1"/>
    <xf numFmtId="1" fontId="3" fillId="8" borderId="40" xfId="0" applyNumberFormat="1" applyFont="1" applyFill="1" applyBorder="1"/>
    <xf numFmtId="0" fontId="25" fillId="23" borderId="41" xfId="0" applyFont="1" applyFill="1" applyBorder="1"/>
    <xf numFmtId="0" fontId="26" fillId="24" borderId="42" xfId="0" applyFont="1" applyFill="1" applyBorder="1"/>
    <xf numFmtId="0" fontId="26" fillId="24" borderId="43" xfId="0" applyFont="1" applyFill="1" applyBorder="1"/>
    <xf numFmtId="0" fontId="22" fillId="0" borderId="44" xfId="0" applyFont="1" applyBorder="1"/>
    <xf numFmtId="9" fontId="22" fillId="6" borderId="0" xfId="0" applyNumberFormat="1" applyFont="1" applyFill="1"/>
    <xf numFmtId="9" fontId="22" fillId="6" borderId="45" xfId="0" applyNumberFormat="1" applyFont="1" applyFill="1" applyBorder="1"/>
    <xf numFmtId="0" fontId="25" fillId="21" borderId="45" xfId="0" applyFont="1" applyFill="1" applyBorder="1" applyAlignment="1">
      <alignment horizontal="center"/>
    </xf>
    <xf numFmtId="0" fontId="27" fillId="22" borderId="46" xfId="0" applyFont="1" applyFill="1" applyBorder="1"/>
    <xf numFmtId="0" fontId="5" fillId="22" borderId="47" xfId="0" applyFont="1" applyFill="1" applyBorder="1"/>
    <xf numFmtId="0" fontId="3" fillId="3" borderId="46" xfId="0" applyFont="1" applyFill="1" applyBorder="1"/>
    <xf numFmtId="0" fontId="22" fillId="0" borderId="45" xfId="0" applyFont="1" applyBorder="1"/>
    <xf numFmtId="0" fontId="5" fillId="4" borderId="48" xfId="0" applyFont="1" applyFill="1" applyBorder="1"/>
    <xf numFmtId="0" fontId="3" fillId="11" borderId="49" xfId="0" applyFont="1" applyFill="1" applyBorder="1"/>
    <xf numFmtId="0" fontId="8" fillId="5" borderId="46" xfId="0" applyFont="1" applyFill="1" applyBorder="1"/>
    <xf numFmtId="0" fontId="8" fillId="25" borderId="1" xfId="0" applyFont="1" applyFill="1" applyBorder="1"/>
    <xf numFmtId="1" fontId="3" fillId="8" borderId="47" xfId="0" applyNumberFormat="1" applyFont="1" applyFill="1" applyBorder="1"/>
    <xf numFmtId="0" fontId="6" fillId="5" borderId="50" xfId="0" applyFont="1" applyFill="1" applyBorder="1"/>
    <xf numFmtId="1" fontId="3" fillId="8" borderId="51" xfId="0" applyNumberFormat="1" applyFont="1" applyFill="1" applyBorder="1"/>
    <xf numFmtId="0" fontId="6" fillId="5" borderId="52" xfId="0" applyFont="1" applyFill="1" applyBorder="1"/>
    <xf numFmtId="1" fontId="3" fillId="8" borderId="53" xfId="0" applyNumberFormat="1" applyFont="1" applyFill="1" applyBorder="1"/>
    <xf numFmtId="1" fontId="3" fillId="8" borderId="54" xfId="0" applyNumberFormat="1" applyFont="1" applyFill="1" applyBorder="1"/>
    <xf numFmtId="0" fontId="25" fillId="6" borderId="55" xfId="0" applyFont="1" applyFill="1" applyBorder="1"/>
    <xf numFmtId="0" fontId="26" fillId="24" borderId="56" xfId="0" applyFont="1" applyFill="1" applyBorder="1"/>
    <xf numFmtId="0" fontId="26" fillId="24" borderId="57" xfId="0" applyFont="1" applyFill="1" applyBorder="1"/>
    <xf numFmtId="0" fontId="22" fillId="0" borderId="58" xfId="0" applyFont="1" applyBorder="1"/>
    <xf numFmtId="9" fontId="22" fillId="6" borderId="59" xfId="0" applyNumberFormat="1" applyFont="1" applyFill="1" applyBorder="1"/>
    <xf numFmtId="0" fontId="25" fillId="21" borderId="59" xfId="0" applyFont="1" applyFill="1" applyBorder="1" applyAlignment="1">
      <alignment horizontal="center"/>
    </xf>
    <xf numFmtId="0" fontId="27" fillId="22" borderId="60" xfId="0" applyFont="1" applyFill="1" applyBorder="1"/>
    <xf numFmtId="0" fontId="5" fillId="22" borderId="61" xfId="0" applyFont="1" applyFill="1" applyBorder="1"/>
    <xf numFmtId="0" fontId="3" fillId="3" borderId="60" xfId="0" applyFont="1" applyFill="1" applyBorder="1"/>
    <xf numFmtId="0" fontId="22" fillId="0" borderId="59" xfId="0" applyFont="1" applyBorder="1"/>
    <xf numFmtId="0" fontId="5" fillId="4" borderId="62" xfId="0" applyFont="1" applyFill="1" applyBorder="1"/>
    <xf numFmtId="0" fontId="3" fillId="11" borderId="63" xfId="0" applyFont="1" applyFill="1" applyBorder="1"/>
    <xf numFmtId="0" fontId="8" fillId="5" borderId="60" xfId="0" applyFont="1" applyFill="1" applyBorder="1"/>
    <xf numFmtId="1" fontId="3" fillId="8" borderId="61" xfId="0" applyNumberFormat="1" applyFont="1" applyFill="1" applyBorder="1"/>
    <xf numFmtId="0" fontId="6" fillId="5" borderId="64" xfId="0" applyFont="1" applyFill="1" applyBorder="1"/>
    <xf numFmtId="1" fontId="3" fillId="8" borderId="65" xfId="0" applyNumberFormat="1" applyFont="1" applyFill="1" applyBorder="1"/>
    <xf numFmtId="0" fontId="6" fillId="5" borderId="66" xfId="0" applyFont="1" applyFill="1" applyBorder="1"/>
    <xf numFmtId="1" fontId="3" fillId="8" borderId="67" xfId="0" applyNumberFormat="1" applyFont="1" applyFill="1" applyBorder="1"/>
    <xf numFmtId="1" fontId="3" fillId="8" borderId="68" xfId="0" applyNumberFormat="1" applyFont="1" applyFill="1" applyBorder="1"/>
    <xf numFmtId="0" fontId="22" fillId="21" borderId="0" xfId="0" applyFont="1" applyFill="1"/>
    <xf numFmtId="1" fontId="22" fillId="21" borderId="0" xfId="0" applyNumberFormat="1" applyFont="1" applyFill="1"/>
    <xf numFmtId="0" fontId="22" fillId="26" borderId="0" xfId="0" applyFont="1" applyFill="1"/>
    <xf numFmtId="1" fontId="22" fillId="26" borderId="0" xfId="0" applyNumberFormat="1" applyFont="1" applyFill="1"/>
    <xf numFmtId="10" fontId="22" fillId="26" borderId="0" xfId="0" applyNumberFormat="1" applyFont="1" applyFill="1"/>
    <xf numFmtId="0" fontId="22" fillId="11" borderId="0" xfId="0" applyFont="1" applyFill="1"/>
    <xf numFmtId="0" fontId="22" fillId="6" borderId="0" xfId="0" applyFont="1" applyFill="1"/>
    <xf numFmtId="164" fontId="22" fillId="0" borderId="0" xfId="0" applyNumberFormat="1" applyFont="1"/>
    <xf numFmtId="0" fontId="26" fillId="27" borderId="0" xfId="0" applyFont="1" applyFill="1"/>
    <xf numFmtId="9" fontId="22" fillId="0" borderId="0" xfId="0" applyNumberFormat="1" applyFont="1"/>
    <xf numFmtId="10" fontId="8" fillId="0" borderId="0" xfId="0" applyNumberFormat="1" applyFont="1"/>
    <xf numFmtId="3" fontId="8" fillId="0" borderId="0" xfId="0" applyNumberFormat="1" applyFont="1"/>
    <xf numFmtId="0" fontId="8" fillId="3" borderId="1" xfId="0" applyFont="1" applyFill="1" applyBorder="1"/>
    <xf numFmtId="9" fontId="15" fillId="0" borderId="12" xfId="0" applyNumberFormat="1" applyFont="1" applyBorder="1"/>
    <xf numFmtId="0" fontId="5" fillId="29" borderId="1" xfId="0" applyFont="1" applyFill="1" applyBorder="1"/>
    <xf numFmtId="1" fontId="18" fillId="0" borderId="11" xfId="0" applyNumberFormat="1" applyFont="1" applyBorder="1"/>
    <xf numFmtId="0" fontId="16" fillId="18" borderId="1" xfId="0" applyFont="1" applyFill="1" applyBorder="1" applyAlignment="1">
      <alignment wrapText="1"/>
    </xf>
    <xf numFmtId="0" fontId="22" fillId="0" borderId="69" xfId="0" applyFont="1" applyBorder="1" applyAlignment="1">
      <alignment horizontal="center"/>
    </xf>
    <xf numFmtId="1" fontId="22" fillId="0" borderId="69" xfId="0" applyNumberFormat="1" applyFont="1" applyBorder="1" applyAlignment="1">
      <alignment horizontal="center"/>
    </xf>
    <xf numFmtId="0" fontId="25" fillId="28" borderId="69" xfId="0" applyFont="1" applyFill="1" applyBorder="1" applyAlignment="1">
      <alignment horizontal="center"/>
    </xf>
    <xf numFmtId="0" fontId="25" fillId="7" borderId="69" xfId="0" applyFont="1" applyFill="1" applyBorder="1" applyAlignment="1">
      <alignment horizontal="center"/>
    </xf>
    <xf numFmtId="0" fontId="25" fillId="3" borderId="69" xfId="0" applyFont="1" applyFill="1" applyBorder="1" applyAlignment="1">
      <alignment horizontal="center"/>
    </xf>
    <xf numFmtId="0" fontId="13" fillId="13" borderId="17" xfId="0" applyFont="1" applyFill="1" applyBorder="1" applyAlignment="1">
      <alignment horizontal="center" vertical="center"/>
    </xf>
    <xf numFmtId="0" fontId="14" fillId="0" borderId="18" xfId="0" applyFont="1" applyBorder="1"/>
    <xf numFmtId="0" fontId="5" fillId="14" borderId="19" xfId="0" applyFont="1" applyFill="1" applyBorder="1" applyAlignment="1">
      <alignment horizontal="center" vertical="center"/>
    </xf>
    <xf numFmtId="0" fontId="14" fillId="0" borderId="20" xfId="0" applyFont="1" applyBorder="1"/>
  </cellXfs>
  <cellStyles count="1">
    <cellStyle name="Normal" xfId="0" builtinId="0"/>
  </cellStyles>
  <dxfs count="4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A6E3B6"/>
          <bgColor rgb="FFA6E3B6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Gastos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VIVIENDA!$B$21</c:f>
              <c:strCache>
                <c:ptCount val="1"/>
                <c:pt idx="0">
                  <c:v>Mensual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1-63DE-455D-B287-0866052C7F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63DE-455D-B287-0866052C7F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63DE-455D-B287-0866052C7FE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63DE-455D-B287-0866052C7FE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63DE-455D-B287-0866052C7FE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B-63DE-455D-B287-0866052C7FED}"/>
              </c:ext>
            </c:extLst>
          </c:dPt>
          <c:dPt>
            <c:idx val="6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D-63DE-455D-B287-0866052C7FED}"/>
              </c:ext>
            </c:extLst>
          </c:dPt>
          <c:dPt>
            <c:idx val="7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F-63DE-455D-B287-0866052C7FED}"/>
              </c:ext>
            </c:extLst>
          </c:dPt>
          <c:dPt>
            <c:idx val="8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1-63DE-455D-B287-0866052C7FE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VIVIENDA!$A$22:$A$30</c:f>
              <c:strCache>
                <c:ptCount val="9"/>
                <c:pt idx="0">
                  <c:v>Comunidad vecinos</c:v>
                </c:pt>
                <c:pt idx="1">
                  <c:v>IBI </c:v>
                </c:pt>
                <c:pt idx="2">
                  <c:v>Impuesto basuras</c:v>
                </c:pt>
                <c:pt idx="3">
                  <c:v>Seguro (mensual)</c:v>
                </c:pt>
                <c:pt idx="4">
                  <c:v>Internet</c:v>
                </c:pt>
                <c:pt idx="5">
                  <c:v>Luz</c:v>
                </c:pt>
                <c:pt idx="6">
                  <c:v>Intereses hipoteca (automático)</c:v>
                </c:pt>
                <c:pt idx="7">
                  <c:v>Otros gastos A</c:v>
                </c:pt>
                <c:pt idx="8">
                  <c:v>Otros gastos B</c:v>
                </c:pt>
              </c:strCache>
            </c:strRef>
          </c:cat>
          <c:val>
            <c:numRef>
              <c:f>VIVIENDA!$B$22:$B$30</c:f>
              <c:numCache>
                <c:formatCode>General</c:formatCode>
                <c:ptCount val="9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>
                  <c:v>18</c:v>
                </c:pt>
                <c:pt idx="6" formatCode="0">
                  <c:v>122.08576416702756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3DE-455D-B287-0866052C7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Valor estimado del inmueble and Reinvirtiendo cashflow - Acumulado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'PATRIMONIO creado'!$B$8</c:f>
              <c:strCache>
                <c:ptCount val="1"/>
                <c:pt idx="0">
                  <c:v>Valor estimado del inmueble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'PATRIMONIO creado'!$A$9:$A$33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'PATRIMONIO creado'!$B$9:$B$33</c:f>
              <c:numCache>
                <c:formatCode>0</c:formatCode>
                <c:ptCount val="25"/>
                <c:pt idx="0">
                  <c:v>125000</c:v>
                </c:pt>
                <c:pt idx="1">
                  <c:v>127500</c:v>
                </c:pt>
                <c:pt idx="2">
                  <c:v>130050</c:v>
                </c:pt>
                <c:pt idx="3">
                  <c:v>132651</c:v>
                </c:pt>
                <c:pt idx="4">
                  <c:v>135304.01999999999</c:v>
                </c:pt>
                <c:pt idx="5">
                  <c:v>138010.1004</c:v>
                </c:pt>
                <c:pt idx="6">
                  <c:v>140770.30240799999</c:v>
                </c:pt>
                <c:pt idx="7">
                  <c:v>143585.70845615998</c:v>
                </c:pt>
                <c:pt idx="8">
                  <c:v>146457.42262528319</c:v>
                </c:pt>
                <c:pt idx="9">
                  <c:v>149386.57107778886</c:v>
                </c:pt>
                <c:pt idx="10">
                  <c:v>152374.30249934463</c:v>
                </c:pt>
                <c:pt idx="11">
                  <c:v>155421.78854933151</c:v>
                </c:pt>
                <c:pt idx="12">
                  <c:v>158530.22432031814</c:v>
                </c:pt>
                <c:pt idx="13">
                  <c:v>161700.82880672452</c:v>
                </c:pt>
                <c:pt idx="14">
                  <c:v>164934.845382859</c:v>
                </c:pt>
                <c:pt idx="15">
                  <c:v>168233.54229051617</c:v>
                </c:pt>
                <c:pt idx="16">
                  <c:v>171598.21313632649</c:v>
                </c:pt>
                <c:pt idx="17">
                  <c:v>175030.17739905303</c:v>
                </c:pt>
                <c:pt idx="18">
                  <c:v>178530.7809470341</c:v>
                </c:pt>
                <c:pt idx="19">
                  <c:v>182101.39656597478</c:v>
                </c:pt>
                <c:pt idx="20">
                  <c:v>185743.42449729427</c:v>
                </c:pt>
                <c:pt idx="21">
                  <c:v>189458.29298724016</c:v>
                </c:pt>
                <c:pt idx="22">
                  <c:v>193247.45884698496</c:v>
                </c:pt>
                <c:pt idx="23">
                  <c:v>197112.40802392465</c:v>
                </c:pt>
                <c:pt idx="24">
                  <c:v>201054.65618440314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59E-40CB-B918-CC6B442AB39A}"/>
            </c:ext>
          </c:extLst>
        </c:ser>
        <c:ser>
          <c:idx val="1"/>
          <c:order val="1"/>
          <c:tx>
            <c:strRef>
              <c:f>'PATRIMONIO creado'!$F$8</c:f>
              <c:strCache>
                <c:ptCount val="1"/>
                <c:pt idx="0">
                  <c:v>Reinvirtiendo cashflow - Acumulado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'PATRIMONIO creado'!$A$9:$A$33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'PATRIMONIO creado'!$F$9:$F$33</c:f>
              <c:numCache>
                <c:formatCode>0</c:formatCode>
                <c:ptCount val="25"/>
                <c:pt idx="0">
                  <c:v>2696.5123558567861</c:v>
                </c:pt>
                <c:pt idx="1">
                  <c:v>5608.7457001821149</c:v>
                </c:pt>
                <c:pt idx="2">
                  <c:v>8750.7218972264418</c:v>
                </c:pt>
                <c:pt idx="3">
                  <c:v>12137.325695194097</c:v>
                </c:pt>
                <c:pt idx="4">
                  <c:v>15784.356930722492</c:v>
                </c:pt>
                <c:pt idx="5">
                  <c:v>19708.585874258926</c:v>
                </c:pt>
                <c:pt idx="6">
                  <c:v>23927.811904961411</c:v>
                </c:pt>
                <c:pt idx="7">
                  <c:v>28460.925715070982</c:v>
                </c:pt>
                <c:pt idx="8">
                  <c:v>33327.975255703364</c:v>
                </c:pt>
                <c:pt idx="9">
                  <c:v>38550.235648728252</c:v>
                </c:pt>
                <c:pt idx="10">
                  <c:v>44150.283302888289</c:v>
                </c:pt>
                <c:pt idx="11">
                  <c:v>50152.074486602651</c:v>
                </c:pt>
                <c:pt idx="12">
                  <c:v>56581.028625050705</c:v>
                </c:pt>
                <c:pt idx="13">
                  <c:v>63464.116605190677</c:v>
                </c:pt>
                <c:pt idx="14">
                  <c:v>70829.954389391787</c:v>
                </c:pt>
                <c:pt idx="15">
                  <c:v>78708.902256402755</c:v>
                </c:pt>
                <c:pt idx="16">
                  <c:v>87133.170007507331</c:v>
                </c:pt>
                <c:pt idx="17">
                  <c:v>96136.928495992586</c:v>
                </c:pt>
                <c:pt idx="18">
                  <c:v>105756.42785954766</c:v>
                </c:pt>
                <c:pt idx="19">
                  <c:v>116030.12285799196</c:v>
                </c:pt>
                <c:pt idx="20">
                  <c:v>126998.80574288033</c:v>
                </c:pt>
                <c:pt idx="21">
                  <c:v>138705.74711113019</c:v>
                </c:pt>
                <c:pt idx="22">
                  <c:v>151196.84522194858</c:v>
                </c:pt>
                <c:pt idx="23">
                  <c:v>164520.78428509907</c:v>
                </c:pt>
                <c:pt idx="24">
                  <c:v>178729.20225903529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59E-40CB-B918-CC6B442A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6617663"/>
        <c:axId val="1473790143"/>
      </c:barChart>
      <c:catAx>
        <c:axId val="18666176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Año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73790143"/>
        <c:crosses val="autoZero"/>
        <c:auto val="1"/>
        <c:lblAlgn val="ctr"/>
        <c:lblOffset val="100"/>
        <c:noMultiLvlLbl val="1"/>
      </c:catAx>
      <c:valAx>
        <c:axId val="147379014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6661766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n-US" sz="1400" b="0" i="0">
                <a:solidFill>
                  <a:srgbClr val="757575"/>
                </a:solidFill>
                <a:latin typeface="+mn-lt"/>
              </a:rPr>
              <a:t>Comparativa Rentabilidad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Tradicional</c:v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VIVIENDA!$A$48:$A$51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VIVIENDA!$B$48:$B$51</c:f>
              <c:numCache>
                <c:formatCode>0.00%</c:formatCode>
                <c:ptCount val="4"/>
                <c:pt idx="0">
                  <c:v>6.6481994459833799E-2</c:v>
                </c:pt>
                <c:pt idx="1">
                  <c:v>4.8192318767283034E-2</c:v>
                </c:pt>
                <c:pt idx="2">
                  <c:v>0.14201981285705448</c:v>
                </c:pt>
                <c:pt idx="3">
                  <c:v>4.4672874081544273E-2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6FE-4F0B-8766-BE73FA27BA86}"/>
            </c:ext>
          </c:extLst>
        </c:ser>
        <c:ser>
          <c:idx val="1"/>
          <c:order val="1"/>
          <c:tx>
            <c:v>Habitaciones</c:v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VIVIENDA!$A$48:$A$51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VIVIENDA!$C$48:$C$51</c:f>
              <c:numCache>
                <c:formatCode>0.00%</c:formatCode>
                <c:ptCount val="4"/>
                <c:pt idx="0">
                  <c:v>9.9722991689750698E-2</c:v>
                </c:pt>
                <c:pt idx="1">
                  <c:v>6.8136917105233161E-2</c:v>
                </c:pt>
                <c:pt idx="2">
                  <c:v>0.20079532306113609</c:v>
                </c:pt>
                <c:pt idx="3">
                  <c:v>0.1034483842856259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46FE-4F0B-8766-BE73FA27BA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43397596"/>
        <c:axId val="1325295228"/>
      </c:barChart>
      <c:catAx>
        <c:axId val="19433975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25295228"/>
        <c:crosses val="autoZero"/>
        <c:auto val="1"/>
        <c:lblAlgn val="ctr"/>
        <c:lblOffset val="100"/>
        <c:noMultiLvlLbl val="1"/>
      </c:catAx>
      <c:valAx>
        <c:axId val="13252952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43397596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Alquiler habitaciones - Mensual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Rentabilidad'!$B$74</c:f>
              <c:strCache>
                <c:ptCount val="1"/>
                <c:pt idx="0">
                  <c:v>Cuota de alquiler bruta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Rentabilidad'!$C$73:$E$73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Rentabilidad'!$C$74:$E$74</c:f>
              <c:numCache>
                <c:formatCode>General</c:formatCode>
                <c:ptCount val="3"/>
                <c:pt idx="0">
                  <c:v>1080</c:v>
                </c:pt>
                <c:pt idx="1">
                  <c:v>1200</c:v>
                </c:pt>
                <c:pt idx="2">
                  <c:v>1320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2AD-4844-8275-63B624991A41}"/>
            </c:ext>
          </c:extLst>
        </c:ser>
        <c:ser>
          <c:idx val="1"/>
          <c:order val="1"/>
          <c:tx>
            <c:strRef>
              <c:f>'Escenarios Rentabilidad'!$B$75</c:f>
              <c:strCache>
                <c:ptCount val="1"/>
                <c:pt idx="0">
                  <c:v>Ingreso menos gastos mantenimiento</c:v>
                </c:pt>
              </c:strCache>
            </c:strRef>
          </c:tx>
          <c:spPr>
            <a:solidFill>
              <a:srgbClr val="00FF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Rentabilidad'!$C$73:$E$73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Rentabilidad'!$C$75:$E$75</c:f>
              <c:numCache>
                <c:formatCode>0</c:formatCode>
                <c:ptCount val="3"/>
                <c:pt idx="0">
                  <c:v>680.90994762462105</c:v>
                </c:pt>
                <c:pt idx="1">
                  <c:v>819.91423583297251</c:v>
                </c:pt>
                <c:pt idx="2">
                  <c:v>939.91423583297251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2AD-4844-8275-63B624991A41}"/>
            </c:ext>
          </c:extLst>
        </c:ser>
        <c:ser>
          <c:idx val="2"/>
          <c:order val="2"/>
          <c:tx>
            <c:strRef>
              <c:f>'Escenarios Rentabilidad'!$B$76</c:f>
              <c:strCache>
                <c:ptCount val="1"/>
                <c:pt idx="0">
                  <c:v>Free cashflow</c:v>
                </c:pt>
              </c:strCache>
            </c:strRef>
          </c:tx>
          <c:spPr>
            <a:solidFill>
              <a:srgbClr val="00FF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Rentabilidad'!$C$73:$E$73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Rentabilidad'!$C$76:$E$76</c:f>
              <c:numCache>
                <c:formatCode>0</c:formatCode>
                <c:ptCount val="3"/>
                <c:pt idx="0">
                  <c:v>283.409947624621</c:v>
                </c:pt>
                <c:pt idx="1">
                  <c:v>422.41423583297245</c:v>
                </c:pt>
                <c:pt idx="2">
                  <c:v>542.41423583297251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2AD-4844-8275-63B624991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6272423"/>
        <c:axId val="357746018"/>
      </c:barChart>
      <c:catAx>
        <c:axId val="152627242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57746018"/>
        <c:crosses val="autoZero"/>
        <c:auto val="1"/>
        <c:lblAlgn val="ctr"/>
        <c:lblOffset val="100"/>
        <c:noMultiLvlLbl val="1"/>
      </c:catAx>
      <c:valAx>
        <c:axId val="35774601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26272423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Alquiler tradicional - Mensual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Rentabilidad'!$B$68</c:f>
              <c:strCache>
                <c:ptCount val="1"/>
                <c:pt idx="0">
                  <c:v>Cuota de alquiler bruta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Rentabilidad'!$C$67:$E$67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Rentabilidad'!$C$68:$E$68</c:f>
              <c:numCache>
                <c:formatCode>General</c:formatCode>
                <c:ptCount val="3"/>
                <c:pt idx="0">
                  <c:v>720</c:v>
                </c:pt>
                <c:pt idx="1">
                  <c:v>800</c:v>
                </c:pt>
                <c:pt idx="2">
                  <c:v>880.00000000000011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FA7-421C-BC77-7B3EAF2ADB8F}"/>
            </c:ext>
          </c:extLst>
        </c:ser>
        <c:ser>
          <c:idx val="1"/>
          <c:order val="1"/>
          <c:tx>
            <c:strRef>
              <c:f>'Escenarios Rentabilidad'!$B$69</c:f>
              <c:strCache>
                <c:ptCount val="1"/>
                <c:pt idx="0">
                  <c:v>Ingreso menos gastos mantenimiento</c:v>
                </c:pt>
              </c:strCache>
            </c:strRef>
          </c:tx>
          <c:spPr>
            <a:solidFill>
              <a:srgbClr val="00FF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Rentabilidad'!$C$67:$E$67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Rentabilidad'!$C$69:$E$69</c:f>
              <c:numCache>
                <c:formatCode>0</c:formatCode>
                <c:ptCount val="3"/>
                <c:pt idx="0">
                  <c:v>488.90994762462105</c:v>
                </c:pt>
                <c:pt idx="1">
                  <c:v>579.91423583297251</c:v>
                </c:pt>
                <c:pt idx="2">
                  <c:v>659.91423583297251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FA7-421C-BC77-7B3EAF2ADB8F}"/>
            </c:ext>
          </c:extLst>
        </c:ser>
        <c:ser>
          <c:idx val="2"/>
          <c:order val="2"/>
          <c:tx>
            <c:strRef>
              <c:f>'Escenarios Rentabilidad'!$B$70</c:f>
              <c:strCache>
                <c:ptCount val="1"/>
                <c:pt idx="0">
                  <c:v>Free cashflow</c:v>
                </c:pt>
              </c:strCache>
            </c:strRef>
          </c:tx>
          <c:spPr>
            <a:solidFill>
              <a:srgbClr val="00FF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Rentabilidad'!$C$67:$E$67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Rentabilidad'!$C$70:$E$70</c:f>
              <c:numCache>
                <c:formatCode>0</c:formatCode>
                <c:ptCount val="3"/>
                <c:pt idx="0">
                  <c:v>91.409947624621012</c:v>
                </c:pt>
                <c:pt idx="1">
                  <c:v>182.41423583297245</c:v>
                </c:pt>
                <c:pt idx="2">
                  <c:v>262.41423583297245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FA7-421C-BC77-7B3EAF2AD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6369238"/>
        <c:axId val="1345388980"/>
      </c:barChart>
      <c:catAx>
        <c:axId val="5263692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45388980"/>
        <c:crosses val="autoZero"/>
        <c:auto val="1"/>
        <c:lblAlgn val="ctr"/>
        <c:lblOffset val="100"/>
        <c:noMultiLvlLbl val="1"/>
      </c:catAx>
      <c:valAx>
        <c:axId val="134538898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52636923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Alquiler tradicional - Anual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Rentabilidad'!$B$82</c:f>
              <c:strCache>
                <c:ptCount val="1"/>
                <c:pt idx="0">
                  <c:v>Cuota de alquiler bruta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Rentabilidad'!$C$81:$E$81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Rentabilidad'!$C$82:$E$82</c:f>
              <c:numCache>
                <c:formatCode>0</c:formatCode>
                <c:ptCount val="3"/>
                <c:pt idx="0">
                  <c:v>8640</c:v>
                </c:pt>
                <c:pt idx="1">
                  <c:v>9600</c:v>
                </c:pt>
                <c:pt idx="2">
                  <c:v>10560.000000000002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9C6-4678-A552-76C8FC0503F3}"/>
            </c:ext>
          </c:extLst>
        </c:ser>
        <c:ser>
          <c:idx val="1"/>
          <c:order val="1"/>
          <c:tx>
            <c:strRef>
              <c:f>'Escenarios Rentabilidad'!$B$83</c:f>
              <c:strCache>
                <c:ptCount val="1"/>
                <c:pt idx="0">
                  <c:v>Ingreso menos gastos mantenimiento</c:v>
                </c:pt>
              </c:strCache>
            </c:strRef>
          </c:tx>
          <c:spPr>
            <a:solidFill>
              <a:srgbClr val="00FF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Rentabilidad'!$C$81:$E$81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Rentabilidad'!$C$83:$E$83</c:f>
              <c:numCache>
                <c:formatCode>0</c:formatCode>
                <c:ptCount val="3"/>
                <c:pt idx="0">
                  <c:v>5866.9193714954527</c:v>
                </c:pt>
                <c:pt idx="1">
                  <c:v>6958.9708299956701</c:v>
                </c:pt>
                <c:pt idx="2">
                  <c:v>7918.9708299956701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9C6-4678-A552-76C8FC0503F3}"/>
            </c:ext>
          </c:extLst>
        </c:ser>
        <c:ser>
          <c:idx val="2"/>
          <c:order val="2"/>
          <c:tx>
            <c:strRef>
              <c:f>'Escenarios Rentabilidad'!$B$84</c:f>
              <c:strCache>
                <c:ptCount val="1"/>
                <c:pt idx="0">
                  <c:v>Free cashflow</c:v>
                </c:pt>
              </c:strCache>
            </c:strRef>
          </c:tx>
          <c:spPr>
            <a:solidFill>
              <a:srgbClr val="00FF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Rentabilidad'!$C$81:$E$81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Rentabilidad'!$C$84:$E$84</c:f>
              <c:numCache>
                <c:formatCode>0</c:formatCode>
                <c:ptCount val="3"/>
                <c:pt idx="0">
                  <c:v>1096.9193714954522</c:v>
                </c:pt>
                <c:pt idx="1">
                  <c:v>2188.9708299956692</c:v>
                </c:pt>
                <c:pt idx="2">
                  <c:v>3148.9708299956692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F9C6-4678-A552-76C8FC050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9634731"/>
        <c:axId val="973823155"/>
      </c:barChart>
      <c:catAx>
        <c:axId val="12796347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73823155"/>
        <c:crosses val="autoZero"/>
        <c:auto val="1"/>
        <c:lblAlgn val="ctr"/>
        <c:lblOffset val="100"/>
        <c:noMultiLvlLbl val="1"/>
      </c:catAx>
      <c:valAx>
        <c:axId val="9738231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7963473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Alquiler habitaciones - Anual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Rentabilidad'!$B$88</c:f>
              <c:strCache>
                <c:ptCount val="1"/>
                <c:pt idx="0">
                  <c:v>Cuota de alquiler bruta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Rentabilidad'!$C$87:$E$87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Rentabilidad'!$C$88:$E$88</c:f>
              <c:numCache>
                <c:formatCode>0</c:formatCode>
                <c:ptCount val="3"/>
                <c:pt idx="0">
                  <c:v>12960</c:v>
                </c:pt>
                <c:pt idx="1">
                  <c:v>14400</c:v>
                </c:pt>
                <c:pt idx="2">
                  <c:v>15840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119-4949-8DAA-95A540FF2504}"/>
            </c:ext>
          </c:extLst>
        </c:ser>
        <c:ser>
          <c:idx val="1"/>
          <c:order val="1"/>
          <c:tx>
            <c:strRef>
              <c:f>'Escenarios Rentabilidad'!$B$89</c:f>
              <c:strCache>
                <c:ptCount val="1"/>
                <c:pt idx="0">
                  <c:v>Ingreso menos gastos mantenimiento</c:v>
                </c:pt>
              </c:strCache>
            </c:strRef>
          </c:tx>
          <c:spPr>
            <a:solidFill>
              <a:srgbClr val="00FF00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Rentabilidad'!$C$87:$E$87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Rentabilidad'!$C$89:$E$89</c:f>
              <c:numCache>
                <c:formatCode>0</c:formatCode>
                <c:ptCount val="3"/>
                <c:pt idx="0">
                  <c:v>8170.9193714954527</c:v>
                </c:pt>
                <c:pt idx="1">
                  <c:v>9838.9708299956692</c:v>
                </c:pt>
                <c:pt idx="2">
                  <c:v>11278.970829995669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119-4949-8DAA-95A540FF2504}"/>
            </c:ext>
          </c:extLst>
        </c:ser>
        <c:ser>
          <c:idx val="2"/>
          <c:order val="2"/>
          <c:tx>
            <c:strRef>
              <c:f>'Escenarios Rentabilidad'!$B$90</c:f>
              <c:strCache>
                <c:ptCount val="1"/>
                <c:pt idx="0">
                  <c:v>Free cashflow</c:v>
                </c:pt>
              </c:strCache>
            </c:strRef>
          </c:tx>
          <c:spPr>
            <a:solidFill>
              <a:srgbClr val="00FFFF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Rentabilidad'!$C$87:$E$87</c:f>
              <c:strCache>
                <c:ptCount val="3"/>
                <c:pt idx="0">
                  <c:v>Escenario pesimista</c:v>
                </c:pt>
                <c:pt idx="1">
                  <c:v>Escenario moderado</c:v>
                </c:pt>
                <c:pt idx="2">
                  <c:v>Escenario optimista</c:v>
                </c:pt>
              </c:strCache>
            </c:strRef>
          </c:cat>
          <c:val>
            <c:numRef>
              <c:f>'Escenarios Rentabilidad'!$C$90:$E$90</c:f>
              <c:numCache>
                <c:formatCode>0</c:formatCode>
                <c:ptCount val="3"/>
                <c:pt idx="0">
                  <c:v>3400.9193714954517</c:v>
                </c:pt>
                <c:pt idx="1">
                  <c:v>5068.9708299956692</c:v>
                </c:pt>
                <c:pt idx="2">
                  <c:v>6508.9708299956701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119-4949-8DAA-95A540FF2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932198"/>
        <c:axId val="674109097"/>
      </c:barChart>
      <c:catAx>
        <c:axId val="11379321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74109097"/>
        <c:crosses val="autoZero"/>
        <c:auto val="1"/>
        <c:lblAlgn val="ctr"/>
        <c:lblOffset val="100"/>
        <c:noMultiLvlLbl val="1"/>
      </c:catAx>
      <c:valAx>
        <c:axId val="67410909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37932198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KPIs tradicional Vs Habitaciones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Rentabilidad'!$H$86</c:f>
              <c:strCache>
                <c:ptCount val="1"/>
                <c:pt idx="0">
                  <c:v>Tradicional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Rentabilidad'!$G$87:$G$90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Rentabilidad'!$H$87:$H$90</c:f>
              <c:numCache>
                <c:formatCode>0.00%</c:formatCode>
                <c:ptCount val="4"/>
                <c:pt idx="0">
                  <c:v>6.6481994459833799E-2</c:v>
                </c:pt>
                <c:pt idx="1">
                  <c:v>4.8192318767283034E-2</c:v>
                </c:pt>
                <c:pt idx="2">
                  <c:v>0.14201981285705448</c:v>
                </c:pt>
                <c:pt idx="3">
                  <c:v>4.4672874081544273E-2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7FB-4989-AA1A-9A371C0A5209}"/>
            </c:ext>
          </c:extLst>
        </c:ser>
        <c:ser>
          <c:idx val="1"/>
          <c:order val="1"/>
          <c:tx>
            <c:strRef>
              <c:f>'Escenarios Rentabilidad'!$I$86</c:f>
              <c:strCache>
                <c:ptCount val="1"/>
                <c:pt idx="0">
                  <c:v>Habitaciones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Rentabilidad'!$G$87:$G$90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Rentabilidad'!$I$87:$I$90</c:f>
              <c:numCache>
                <c:formatCode>0.00%</c:formatCode>
                <c:ptCount val="4"/>
                <c:pt idx="0">
                  <c:v>9.9722991689750698E-2</c:v>
                </c:pt>
                <c:pt idx="1">
                  <c:v>6.8136917105233161E-2</c:v>
                </c:pt>
                <c:pt idx="2">
                  <c:v>0.20079532306113609</c:v>
                </c:pt>
                <c:pt idx="3">
                  <c:v>0.1034483842856259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C7FB-4989-AA1A-9A371C0A5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0486514"/>
        <c:axId val="1252276726"/>
      </c:barChart>
      <c:catAx>
        <c:axId val="910486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Moderado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52276726"/>
        <c:crosses val="autoZero"/>
        <c:auto val="1"/>
        <c:lblAlgn val="ctr"/>
        <c:lblOffset val="100"/>
        <c:noMultiLvlLbl val="1"/>
      </c:catAx>
      <c:valAx>
        <c:axId val="12522767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10486514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KPIs tradicional Vs Habitaciones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Rentabilidad'!$H$92</c:f>
              <c:strCache>
                <c:ptCount val="1"/>
                <c:pt idx="0">
                  <c:v>Tradicional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Rentabilidad'!$G$93:$G$96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Rentabilidad'!$H$93:$H$96</c:f>
              <c:numCache>
                <c:formatCode>0.00%</c:formatCode>
                <c:ptCount val="4"/>
                <c:pt idx="0">
                  <c:v>5.9833795013850416E-2</c:v>
                </c:pt>
                <c:pt idx="1">
                  <c:v>4.0629635536672107E-2</c:v>
                </c:pt>
                <c:pt idx="2">
                  <c:v>0.11973304839786639</c:v>
                </c:pt>
                <c:pt idx="3">
                  <c:v>2.2386109622356168E-2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2F5-49A9-9863-E7A2C7D3FDA9}"/>
            </c:ext>
          </c:extLst>
        </c:ser>
        <c:ser>
          <c:idx val="1"/>
          <c:order val="1"/>
          <c:tx>
            <c:strRef>
              <c:f>'Escenarios Rentabilidad'!$I$92</c:f>
              <c:strCache>
                <c:ptCount val="1"/>
                <c:pt idx="0">
                  <c:v>Habitaciones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Rentabilidad'!$G$93:$G$96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Rentabilidad'!$I$93:$I$96</c:f>
              <c:numCache>
                <c:formatCode>0.00%</c:formatCode>
                <c:ptCount val="4"/>
                <c:pt idx="0">
                  <c:v>8.9750692520775624E-2</c:v>
                </c:pt>
                <c:pt idx="1">
                  <c:v>5.6585314207032222E-2</c:v>
                </c:pt>
                <c:pt idx="2">
                  <c:v>0.16675345656113169</c:v>
                </c:pt>
                <c:pt idx="3">
                  <c:v>6.9406517785621458E-2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2F5-49A9-9863-E7A2C7D3F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4583409"/>
        <c:axId val="1812195390"/>
      </c:barChart>
      <c:catAx>
        <c:axId val="15545834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Pesimista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812195390"/>
        <c:crosses val="autoZero"/>
        <c:auto val="1"/>
        <c:lblAlgn val="ctr"/>
        <c:lblOffset val="100"/>
        <c:noMultiLvlLbl val="1"/>
      </c:catAx>
      <c:valAx>
        <c:axId val="181219539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54583409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KPIs tradicional Vs Habitaciones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'Escenarios Rentabilidad'!$H$98</c:f>
              <c:strCache>
                <c:ptCount val="1"/>
                <c:pt idx="0">
                  <c:v>Tradicional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Rentabilidad'!$G$99:$G$102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Rentabilidad'!$H$99:$H$102</c:f>
              <c:numCache>
                <c:formatCode>0.00%</c:formatCode>
                <c:ptCount val="4"/>
                <c:pt idx="0">
                  <c:v>7.3130193905817181E-2</c:v>
                </c:pt>
                <c:pt idx="1">
                  <c:v>5.4840518213266416E-2</c:v>
                </c:pt>
                <c:pt idx="2">
                  <c:v>0.16161164959174837</c:v>
                </c:pt>
                <c:pt idx="3">
                  <c:v>6.4264710816238149E-2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AB0-44F5-8D78-D7CE95A07641}"/>
            </c:ext>
          </c:extLst>
        </c:ser>
        <c:ser>
          <c:idx val="1"/>
          <c:order val="1"/>
          <c:tx>
            <c:strRef>
              <c:f>'Escenarios Rentabilidad'!$I$98</c:f>
              <c:strCache>
                <c:ptCount val="1"/>
                <c:pt idx="0">
                  <c:v>Habitaciones</c:v>
                </c:pt>
              </c:strCache>
            </c:strRef>
          </c:tx>
          <c:spPr>
            <a:solidFill>
              <a:srgbClr val="EA433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'Escenarios Rentabilidad'!$G$99:$G$102</c:f>
              <c:strCache>
                <c:ptCount val="4"/>
                <c:pt idx="0">
                  <c:v>Rentabilidad BRUTA</c:v>
                </c:pt>
                <c:pt idx="1">
                  <c:v>Rentabilidad anual NETA</c:v>
                </c:pt>
                <c:pt idx="2">
                  <c:v>ROCE (return on capital employed)</c:v>
                </c:pt>
                <c:pt idx="3">
                  <c:v>CASH ON CASH</c:v>
                </c:pt>
              </c:strCache>
            </c:strRef>
          </c:cat>
          <c:val>
            <c:numRef>
              <c:f>'Escenarios Rentabilidad'!$I$99:$I$102</c:f>
              <c:numCache>
                <c:formatCode>0.00%</c:formatCode>
                <c:ptCount val="4"/>
                <c:pt idx="0">
                  <c:v>0.10969529085872576</c:v>
                </c:pt>
                <c:pt idx="1">
                  <c:v>7.8109216274208235E-2</c:v>
                </c:pt>
                <c:pt idx="2">
                  <c:v>0.23018307816317693</c:v>
                </c:pt>
                <c:pt idx="3">
                  <c:v>0.13283613938766672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AB0-44F5-8D78-D7CE95A07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601391"/>
        <c:axId val="1609838620"/>
      </c:barChart>
      <c:catAx>
        <c:axId val="9416013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Optimista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09838620"/>
        <c:crosses val="autoZero"/>
        <c:auto val="1"/>
        <c:lblAlgn val="ctr"/>
        <c:lblOffset val="100"/>
        <c:noMultiLvlLbl val="1"/>
      </c:catAx>
      <c:valAx>
        <c:axId val="16098386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41601391"/>
        <c:crosses val="autoZero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180975</xdr:colOff>
      <xdr:row>19</xdr:row>
      <xdr:rowOff>57150</xdr:rowOff>
    </xdr:from>
    <xdr:ext cx="7210425" cy="2514600"/>
    <xdr:graphicFrame macro="">
      <xdr:nvGraphicFramePr>
        <xdr:cNvPr id="1057770108" name="Chart 1" title="Chart">
          <a:extLst>
            <a:ext uri="{FF2B5EF4-FFF2-40B4-BE49-F238E27FC236}">
              <a16:creationId xmlns:a16="http://schemas.microsoft.com/office/drawing/2014/main" id="{00000000-0008-0000-0000-00007C4A0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438150</xdr:colOff>
      <xdr:row>46</xdr:row>
      <xdr:rowOff>95250</xdr:rowOff>
    </xdr:from>
    <xdr:ext cx="5591175" cy="2857500"/>
    <xdr:graphicFrame macro="">
      <xdr:nvGraphicFramePr>
        <xdr:cNvPr id="1660332421" name="Chart 2">
          <a:extLst>
            <a:ext uri="{FF2B5EF4-FFF2-40B4-BE49-F238E27FC236}">
              <a16:creationId xmlns:a16="http://schemas.microsoft.com/office/drawing/2014/main" id="{00000000-0008-0000-0000-000085A9F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23</xdr:row>
      <xdr:rowOff>47625</xdr:rowOff>
    </xdr:from>
    <xdr:ext cx="6572250" cy="3657600"/>
    <xdr:graphicFrame macro="">
      <xdr:nvGraphicFramePr>
        <xdr:cNvPr id="957954497" name="Chart 3" title="Chart">
          <a:extLst>
            <a:ext uri="{FF2B5EF4-FFF2-40B4-BE49-F238E27FC236}">
              <a16:creationId xmlns:a16="http://schemas.microsoft.com/office/drawing/2014/main" id="{00000000-0008-0000-0100-0000C13919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0</xdr:colOff>
      <xdr:row>2</xdr:row>
      <xdr:rowOff>85725</xdr:rowOff>
    </xdr:from>
    <xdr:ext cx="6572250" cy="3533775"/>
    <xdr:graphicFrame macro="">
      <xdr:nvGraphicFramePr>
        <xdr:cNvPr id="1145299284" name="Chart 4" title="Chart">
          <a:extLst>
            <a:ext uri="{FF2B5EF4-FFF2-40B4-BE49-F238E27FC236}">
              <a16:creationId xmlns:a16="http://schemas.microsoft.com/office/drawing/2014/main" id="{00000000-0008-0000-0100-000054E14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8</xdr:col>
      <xdr:colOff>1295400</xdr:colOff>
      <xdr:row>2</xdr:row>
      <xdr:rowOff>85725</xdr:rowOff>
    </xdr:from>
    <xdr:ext cx="6572250" cy="3533775"/>
    <xdr:graphicFrame macro="">
      <xdr:nvGraphicFramePr>
        <xdr:cNvPr id="360071423" name="Chart 5" title="Chart">
          <a:extLst>
            <a:ext uri="{FF2B5EF4-FFF2-40B4-BE49-F238E27FC236}">
              <a16:creationId xmlns:a16="http://schemas.microsoft.com/office/drawing/2014/main" id="{00000000-0008-0000-0100-0000FF4076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8</xdr:col>
      <xdr:colOff>1295400</xdr:colOff>
      <xdr:row>23</xdr:row>
      <xdr:rowOff>47625</xdr:rowOff>
    </xdr:from>
    <xdr:ext cx="6572250" cy="3657600"/>
    <xdr:graphicFrame macro="">
      <xdr:nvGraphicFramePr>
        <xdr:cNvPr id="1970878383" name="Chart 6" title="Chart">
          <a:extLst>
            <a:ext uri="{FF2B5EF4-FFF2-40B4-BE49-F238E27FC236}">
              <a16:creationId xmlns:a16="http://schemas.microsoft.com/office/drawing/2014/main" id="{00000000-0008-0000-0100-0000AF3779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6</xdr:col>
      <xdr:colOff>0</xdr:colOff>
      <xdr:row>44</xdr:row>
      <xdr:rowOff>57150</xdr:rowOff>
    </xdr:from>
    <xdr:ext cx="5133975" cy="3171825"/>
    <xdr:graphicFrame macro="">
      <xdr:nvGraphicFramePr>
        <xdr:cNvPr id="1527095800" name="Chart 7" title="Chart">
          <a:extLst>
            <a:ext uri="{FF2B5EF4-FFF2-40B4-BE49-F238E27FC236}">
              <a16:creationId xmlns:a16="http://schemas.microsoft.com/office/drawing/2014/main" id="{00000000-0008-0000-0100-0000F8A105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8</xdr:col>
      <xdr:colOff>508000</xdr:colOff>
      <xdr:row>44</xdr:row>
      <xdr:rowOff>50800</xdr:rowOff>
    </xdr:from>
    <xdr:ext cx="5133975" cy="3171825"/>
    <xdr:graphicFrame macro="">
      <xdr:nvGraphicFramePr>
        <xdr:cNvPr id="2138955402" name="Chart 8" title="Chart">
          <a:extLst>
            <a:ext uri="{FF2B5EF4-FFF2-40B4-BE49-F238E27FC236}">
              <a16:creationId xmlns:a16="http://schemas.microsoft.com/office/drawing/2014/main" id="{00000000-0008-0000-0100-00008ADE7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12</xdr:col>
      <xdr:colOff>1076325</xdr:colOff>
      <xdr:row>44</xdr:row>
      <xdr:rowOff>19050</xdr:rowOff>
    </xdr:from>
    <xdr:ext cx="5133975" cy="3171825"/>
    <xdr:graphicFrame macro="">
      <xdr:nvGraphicFramePr>
        <xdr:cNvPr id="1656091072" name="Chart 9" title="Chart">
          <a:extLst>
            <a:ext uri="{FF2B5EF4-FFF2-40B4-BE49-F238E27FC236}">
              <a16:creationId xmlns:a16="http://schemas.microsoft.com/office/drawing/2014/main" id="{00000000-0008-0000-0100-0000C0F1B5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876300</xdr:colOff>
      <xdr:row>5</xdr:row>
      <xdr:rowOff>114300</xdr:rowOff>
    </xdr:from>
    <xdr:ext cx="8105775" cy="5267325"/>
    <xdr:graphicFrame macro="">
      <xdr:nvGraphicFramePr>
        <xdr:cNvPr id="138649251" name="Chart 10" title="Chart">
          <a:extLst>
            <a:ext uri="{FF2B5EF4-FFF2-40B4-BE49-F238E27FC236}">
              <a16:creationId xmlns:a16="http://schemas.microsoft.com/office/drawing/2014/main" id="{00000000-0008-0000-0200-0000A39E43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3CEFA"/>
    <outlinePr summaryBelow="0" summaryRight="0"/>
  </sheetPr>
  <dimension ref="A1:Z1008"/>
  <sheetViews>
    <sheetView showGridLines="0" tabSelected="1" workbookViewId="0">
      <selection activeCell="C11" sqref="C11"/>
    </sheetView>
  </sheetViews>
  <sheetFormatPr defaultColWidth="12.6328125" defaultRowHeight="15" customHeight="1" x14ac:dyDescent="0.25"/>
  <cols>
    <col min="1" max="1" width="39.6328125" customWidth="1"/>
    <col min="2" max="2" width="14.453125" customWidth="1"/>
    <col min="3" max="3" width="26.26953125" customWidth="1"/>
    <col min="4" max="4" width="60.08984375" customWidth="1"/>
    <col min="5" max="5" width="27" customWidth="1"/>
    <col min="6" max="7" width="35.90625" customWidth="1"/>
    <col min="8" max="8" width="39.36328125" customWidth="1"/>
    <col min="9" max="9" width="24.36328125" customWidth="1"/>
    <col min="10" max="26" width="12.453125" customWidth="1"/>
  </cols>
  <sheetData>
    <row r="1" spans="1:8" ht="69" customHeight="1" x14ac:dyDescent="0.9">
      <c r="A1" s="1" t="s">
        <v>0</v>
      </c>
      <c r="B1" s="2"/>
      <c r="C1" s="2"/>
      <c r="D1" s="2"/>
      <c r="E1" s="2"/>
      <c r="F1" s="2"/>
    </row>
    <row r="2" spans="1:8" ht="15.75" customHeight="1" x14ac:dyDescent="0.3">
      <c r="A2" s="3" t="s">
        <v>1</v>
      </c>
      <c r="H2" s="4"/>
    </row>
    <row r="3" spans="1:8" ht="15.75" customHeight="1" x14ac:dyDescent="0.3">
      <c r="A3" s="5" t="s">
        <v>2</v>
      </c>
      <c r="B3" s="6"/>
      <c r="C3" s="7"/>
      <c r="D3" s="8"/>
      <c r="E3" s="8"/>
      <c r="F3" s="8"/>
    </row>
    <row r="4" spans="1:8" ht="15.75" customHeight="1" x14ac:dyDescent="0.3">
      <c r="A4" s="9" t="s">
        <v>3</v>
      </c>
      <c r="C4" s="10">
        <v>120000</v>
      </c>
      <c r="D4" s="8"/>
      <c r="E4" s="8"/>
      <c r="F4" s="8"/>
    </row>
    <row r="5" spans="1:8" ht="15.75" customHeight="1" x14ac:dyDescent="0.3">
      <c r="A5" s="9" t="s">
        <v>4</v>
      </c>
      <c r="B5" s="11">
        <v>0.1</v>
      </c>
      <c r="C5" s="12">
        <f>B5*C4</f>
        <v>12000</v>
      </c>
      <c r="D5" s="13"/>
      <c r="E5" s="13"/>
    </row>
    <row r="6" spans="1:8" ht="15.75" customHeight="1" x14ac:dyDescent="0.3">
      <c r="A6" s="9" t="s">
        <v>5</v>
      </c>
      <c r="C6" s="14">
        <v>2400</v>
      </c>
      <c r="D6" s="13"/>
      <c r="E6" s="13"/>
    </row>
    <row r="7" spans="1:8" ht="15.75" customHeight="1" x14ac:dyDescent="0.3">
      <c r="A7" s="9" t="s">
        <v>6</v>
      </c>
      <c r="C7" s="10"/>
      <c r="D7" s="13"/>
      <c r="E7" s="13"/>
    </row>
    <row r="8" spans="1:8" ht="15.75" customHeight="1" x14ac:dyDescent="0.3">
      <c r="A8" s="15" t="s">
        <v>7</v>
      </c>
      <c r="B8" s="16"/>
      <c r="C8" s="17">
        <f>SUM(C4:C7)</f>
        <v>134400</v>
      </c>
      <c r="D8" s="8"/>
      <c r="E8" s="8"/>
    </row>
    <row r="9" spans="1:8" ht="15.75" customHeight="1" x14ac:dyDescent="0.3">
      <c r="D9" s="13"/>
      <c r="E9" s="13"/>
    </row>
    <row r="10" spans="1:8" ht="15.75" customHeight="1" x14ac:dyDescent="0.3">
      <c r="A10" s="5" t="s">
        <v>8</v>
      </c>
      <c r="B10" s="6"/>
      <c r="C10" s="6"/>
      <c r="D10" s="18" t="s">
        <v>9</v>
      </c>
      <c r="E10" s="19" t="s">
        <v>10</v>
      </c>
      <c r="F10" s="19" t="s">
        <v>11</v>
      </c>
      <c r="G10" s="20" t="s">
        <v>12</v>
      </c>
    </row>
    <row r="11" spans="1:8" ht="15.75" customHeight="1" x14ac:dyDescent="0.3">
      <c r="A11" s="9" t="s">
        <v>13</v>
      </c>
      <c r="C11" s="21">
        <v>39000</v>
      </c>
      <c r="D11" s="22" t="s">
        <v>14</v>
      </c>
      <c r="E11" s="23">
        <f>C4*0+(SUM(C5:C7))</f>
        <v>14400</v>
      </c>
      <c r="F11" s="23">
        <f>C4*0+(SUM(C5:C7)+C16)</f>
        <v>24400</v>
      </c>
      <c r="G11" s="24" t="s">
        <v>15</v>
      </c>
      <c r="H11" s="25">
        <v>2500</v>
      </c>
    </row>
    <row r="12" spans="1:8" ht="15.75" customHeight="1" x14ac:dyDescent="0.3">
      <c r="A12" s="9" t="s">
        <v>16</v>
      </c>
      <c r="B12" s="26">
        <v>20</v>
      </c>
      <c r="D12" s="22" t="s">
        <v>17</v>
      </c>
      <c r="E12" s="23">
        <f>C4*0.1+(SUM(C5:C7))</f>
        <v>26400</v>
      </c>
      <c r="F12" s="23">
        <f>C4*0.1+(SUM(C5:C7)+C16)</f>
        <v>36400</v>
      </c>
      <c r="G12" s="24" t="s">
        <v>18</v>
      </c>
      <c r="H12" s="178">
        <f>C14/H11</f>
        <v>0.20783430566681105</v>
      </c>
    </row>
    <row r="13" spans="1:8" ht="15.75" customHeight="1" x14ac:dyDescent="0.3">
      <c r="A13" s="9" t="s">
        <v>19</v>
      </c>
      <c r="B13" s="27">
        <v>2.8000000000000001E-2</v>
      </c>
      <c r="C13" s="28">
        <f>(1-((1+(B13/12))^(-B12*12)))/(B13/12)</f>
        <v>183.60780178983586</v>
      </c>
      <c r="D13" s="22" t="s">
        <v>20</v>
      </c>
      <c r="E13" s="23">
        <f>C4*0.2+(SUM(C5:C7))</f>
        <v>38400</v>
      </c>
      <c r="F13" s="23">
        <f>C4*0.2+(SUM(C5:C7)+C16)</f>
        <v>48400</v>
      </c>
    </row>
    <row r="14" spans="1:8" ht="15.75" customHeight="1" x14ac:dyDescent="0.3">
      <c r="A14" s="15" t="s">
        <v>21</v>
      </c>
      <c r="B14" s="16"/>
      <c r="C14" s="29">
        <f>(C8-C11)/C13</f>
        <v>519.58576416702761</v>
      </c>
      <c r="D14" s="22" t="s">
        <v>22</v>
      </c>
      <c r="E14" s="23">
        <f>C4*0.3+(SUM(C5:C7))</f>
        <v>50400</v>
      </c>
      <c r="F14" s="23">
        <f>C4*0.3+(SUM(C5:C7)+C16)</f>
        <v>60400</v>
      </c>
    </row>
    <row r="15" spans="1:8" ht="15.75" customHeight="1" x14ac:dyDescent="0.25"/>
    <row r="16" spans="1:8" ht="15.75" customHeight="1" x14ac:dyDescent="0.3">
      <c r="A16" s="5" t="s">
        <v>23</v>
      </c>
      <c r="B16" s="6"/>
      <c r="C16" s="30">
        <v>10000</v>
      </c>
      <c r="D16" s="8"/>
      <c r="E16" s="8"/>
      <c r="F16" s="8"/>
    </row>
    <row r="17" spans="1:6" ht="15.75" customHeight="1" x14ac:dyDescent="0.3">
      <c r="A17" s="9" t="s">
        <v>24</v>
      </c>
      <c r="C17" s="31">
        <f>B12*(C14*12)+C11+C16</f>
        <v>173700.58340008662</v>
      </c>
      <c r="D17" s="8"/>
      <c r="E17" s="8"/>
      <c r="F17" s="8"/>
    </row>
    <row r="18" spans="1:6" ht="15.75" customHeight="1" x14ac:dyDescent="0.3">
      <c r="A18" s="15" t="s">
        <v>25</v>
      </c>
      <c r="B18" s="16"/>
      <c r="C18" s="32">
        <f>C11+C16</f>
        <v>49000</v>
      </c>
      <c r="D18" s="8"/>
      <c r="E18" s="8"/>
      <c r="F18" s="8"/>
    </row>
    <row r="19" spans="1:6" ht="15.75" customHeight="1" x14ac:dyDescent="0.25"/>
    <row r="20" spans="1:6" ht="15.75" customHeight="1" x14ac:dyDescent="0.3">
      <c r="A20" s="3" t="s">
        <v>26</v>
      </c>
    </row>
    <row r="21" spans="1:6" ht="15.75" customHeight="1" x14ac:dyDescent="0.3">
      <c r="A21" s="5" t="s">
        <v>27</v>
      </c>
      <c r="B21" s="33" t="s">
        <v>28</v>
      </c>
      <c r="C21" s="34" t="s">
        <v>29</v>
      </c>
      <c r="D21" s="8"/>
      <c r="E21" s="8"/>
      <c r="F21" s="8"/>
    </row>
    <row r="22" spans="1:6" ht="15.75" customHeight="1" x14ac:dyDescent="0.3">
      <c r="A22" s="9" t="s">
        <v>30</v>
      </c>
      <c r="B22" s="35">
        <v>40</v>
      </c>
      <c r="C22" s="12">
        <f t="shared" ref="C22:C30" si="0">B22*12</f>
        <v>480</v>
      </c>
    </row>
    <row r="23" spans="1:6" ht="15.75" customHeight="1" x14ac:dyDescent="0.3">
      <c r="A23" s="9" t="s">
        <v>31</v>
      </c>
      <c r="B23" s="35">
        <v>30</v>
      </c>
      <c r="C23" s="12">
        <f t="shared" si="0"/>
        <v>360</v>
      </c>
    </row>
    <row r="24" spans="1:6" ht="15.75" customHeight="1" x14ac:dyDescent="0.3">
      <c r="A24" s="9" t="s">
        <v>32</v>
      </c>
      <c r="B24" s="35">
        <v>10</v>
      </c>
      <c r="C24" s="12">
        <f t="shared" si="0"/>
        <v>120</v>
      </c>
    </row>
    <row r="25" spans="1:6" ht="15.75" customHeight="1" x14ac:dyDescent="0.3">
      <c r="A25" s="9" t="s">
        <v>33</v>
      </c>
      <c r="B25" s="35">
        <v>18</v>
      </c>
      <c r="C25" s="12">
        <f t="shared" si="0"/>
        <v>216</v>
      </c>
    </row>
    <row r="26" spans="1:6" ht="15.75" customHeight="1" x14ac:dyDescent="0.3">
      <c r="A26" s="9" t="s">
        <v>34</v>
      </c>
      <c r="B26" s="35"/>
      <c r="C26" s="12">
        <f t="shared" si="0"/>
        <v>0</v>
      </c>
    </row>
    <row r="27" spans="1:6" ht="15.75" customHeight="1" x14ac:dyDescent="0.3">
      <c r="A27" s="9" t="s">
        <v>35</v>
      </c>
      <c r="B27" s="35"/>
      <c r="C27" s="12">
        <f t="shared" si="0"/>
        <v>0</v>
      </c>
    </row>
    <row r="28" spans="1:6" ht="15.75" customHeight="1" x14ac:dyDescent="0.3">
      <c r="A28" s="36" t="s">
        <v>36</v>
      </c>
      <c r="B28" s="37">
        <f>B66</f>
        <v>122.08576416702756</v>
      </c>
      <c r="C28" s="12">
        <f t="shared" si="0"/>
        <v>1465.0291700043308</v>
      </c>
    </row>
    <row r="29" spans="1:6" ht="15.75" customHeight="1" x14ac:dyDescent="0.3">
      <c r="A29" s="15" t="s">
        <v>37</v>
      </c>
      <c r="B29" s="35"/>
      <c r="C29" s="12">
        <f t="shared" si="0"/>
        <v>0</v>
      </c>
    </row>
    <row r="30" spans="1:6" ht="15.75" customHeight="1" x14ac:dyDescent="0.3">
      <c r="A30" s="15" t="s">
        <v>38</v>
      </c>
      <c r="B30" s="38"/>
      <c r="C30" s="17">
        <f t="shared" si="0"/>
        <v>0</v>
      </c>
    </row>
    <row r="31" spans="1:6" ht="15.75" customHeight="1" x14ac:dyDescent="0.3">
      <c r="A31" s="39" t="s">
        <v>39</v>
      </c>
      <c r="B31" s="40">
        <f t="shared" ref="B31:C31" si="1">SUM(B22:B30)</f>
        <v>220.08576416702755</v>
      </c>
      <c r="C31" s="40">
        <f t="shared" si="1"/>
        <v>2641.0291700043308</v>
      </c>
    </row>
    <row r="32" spans="1:6" ht="15.75" customHeight="1" x14ac:dyDescent="0.25"/>
    <row r="33" spans="1:9" ht="15.75" customHeight="1" x14ac:dyDescent="0.3">
      <c r="A33" s="3" t="s">
        <v>40</v>
      </c>
    </row>
    <row r="34" spans="1:9" ht="15.75" customHeight="1" x14ac:dyDescent="0.3">
      <c r="A34" s="5" t="s">
        <v>41</v>
      </c>
      <c r="B34" s="33" t="s">
        <v>28</v>
      </c>
      <c r="C34" s="34" t="s">
        <v>42</v>
      </c>
    </row>
    <row r="35" spans="1:9" ht="15.75" customHeight="1" x14ac:dyDescent="0.3">
      <c r="A35" s="9" t="s">
        <v>43</v>
      </c>
      <c r="B35" s="35">
        <v>800</v>
      </c>
      <c r="C35" s="41">
        <f t="shared" ref="C35:C37" si="2">B35*12</f>
        <v>9600</v>
      </c>
      <c r="D35" s="8"/>
      <c r="E35" s="8"/>
      <c r="F35" s="8"/>
    </row>
    <row r="36" spans="1:9" ht="15.75" customHeight="1" x14ac:dyDescent="0.3">
      <c r="A36" s="9" t="s">
        <v>44</v>
      </c>
      <c r="B36" s="42">
        <f>B35-SUM(B22:B30)</f>
        <v>579.91423583297251</v>
      </c>
      <c r="C36" s="41">
        <f t="shared" si="2"/>
        <v>6958.9708299956701</v>
      </c>
      <c r="D36" s="43"/>
      <c r="E36" s="43"/>
      <c r="F36" s="43"/>
    </row>
    <row r="37" spans="1:9" ht="15.75" customHeight="1" x14ac:dyDescent="0.3">
      <c r="A37" s="44" t="s">
        <v>45</v>
      </c>
      <c r="B37" s="45">
        <f>B36-C14+B28</f>
        <v>182.41423583297245</v>
      </c>
      <c r="C37" s="46">
        <f t="shared" si="2"/>
        <v>2188.9708299956692</v>
      </c>
      <c r="D37" s="43"/>
      <c r="E37" s="43"/>
      <c r="F37" s="43"/>
    </row>
    <row r="38" spans="1:9" ht="15.75" customHeight="1" x14ac:dyDescent="0.25"/>
    <row r="39" spans="1:9" ht="15.75" customHeight="1" x14ac:dyDescent="0.3">
      <c r="A39" s="3" t="s">
        <v>46</v>
      </c>
    </row>
    <row r="40" spans="1:9" ht="15.75" customHeight="1" x14ac:dyDescent="0.3">
      <c r="A40" s="5" t="s">
        <v>41</v>
      </c>
      <c r="B40" s="33" t="s">
        <v>28</v>
      </c>
      <c r="C40" s="34" t="s">
        <v>42</v>
      </c>
    </row>
    <row r="41" spans="1:9" ht="15.75" customHeight="1" x14ac:dyDescent="0.3">
      <c r="A41" s="9" t="s">
        <v>43</v>
      </c>
      <c r="B41" s="179">
        <f>G54</f>
        <v>1200</v>
      </c>
      <c r="C41" s="41">
        <f t="shared" ref="C41:C43" si="3">B41*12</f>
        <v>14400</v>
      </c>
    </row>
    <row r="42" spans="1:9" ht="15.75" customHeight="1" x14ac:dyDescent="0.3">
      <c r="A42" s="9" t="s">
        <v>47</v>
      </c>
      <c r="B42" s="42">
        <f>B41-SUM(B22:B30)-(SUM(H47:H52))</f>
        <v>819.91423583297251</v>
      </c>
      <c r="C42" s="41">
        <f t="shared" si="3"/>
        <v>9838.9708299956692</v>
      </c>
    </row>
    <row r="43" spans="1:9" ht="15.75" customHeight="1" x14ac:dyDescent="0.3">
      <c r="A43" s="44" t="s">
        <v>48</v>
      </c>
      <c r="B43" s="45">
        <f>B42-C14+B28</f>
        <v>422.41423583297245</v>
      </c>
      <c r="C43" s="46">
        <f t="shared" si="3"/>
        <v>5068.9708299956692</v>
      </c>
    </row>
    <row r="44" spans="1:9" ht="15.75" customHeight="1" x14ac:dyDescent="0.25"/>
    <row r="45" spans="1:9" ht="15.75" customHeight="1" x14ac:dyDescent="0.25"/>
    <row r="46" spans="1:9" ht="15.75" customHeight="1" x14ac:dyDescent="0.3">
      <c r="A46" s="187" t="s">
        <v>49</v>
      </c>
      <c r="B46" s="188"/>
      <c r="C46" s="189" t="s">
        <v>50</v>
      </c>
      <c r="D46" s="190"/>
      <c r="F46" s="47" t="s">
        <v>51</v>
      </c>
      <c r="G46" s="47" t="s">
        <v>52</v>
      </c>
      <c r="H46" s="48" t="s">
        <v>53</v>
      </c>
      <c r="I46" s="49" t="s">
        <v>54</v>
      </c>
    </row>
    <row r="47" spans="1:9" ht="15.75" customHeight="1" x14ac:dyDescent="0.35">
      <c r="A47" s="50" t="s">
        <v>55</v>
      </c>
      <c r="B47" s="51" t="s">
        <v>56</v>
      </c>
      <c r="C47" s="51" t="s">
        <v>57</v>
      </c>
      <c r="F47" s="52" t="s">
        <v>58</v>
      </c>
      <c r="G47" s="53">
        <v>300</v>
      </c>
      <c r="H47" s="54">
        <v>40</v>
      </c>
      <c r="I47" s="54"/>
    </row>
    <row r="48" spans="1:9" ht="15.75" customHeight="1" x14ac:dyDescent="0.35">
      <c r="A48" s="55" t="s">
        <v>59</v>
      </c>
      <c r="B48" s="56">
        <f>C35/(C8+C16)</f>
        <v>6.6481994459833799E-2</v>
      </c>
      <c r="C48" s="56">
        <f>G55/(C8+C16+(SUM(I47:I52)))</f>
        <v>9.9722991689750698E-2</v>
      </c>
      <c r="F48" s="52" t="s">
        <v>60</v>
      </c>
      <c r="G48" s="53">
        <v>300</v>
      </c>
      <c r="H48" s="54">
        <v>40</v>
      </c>
      <c r="I48" s="54"/>
    </row>
    <row r="49" spans="1:9" ht="15.75" customHeight="1" x14ac:dyDescent="0.35">
      <c r="A49" s="55" t="s">
        <v>61</v>
      </c>
      <c r="B49" s="57">
        <f>C36/(C8+C16)</f>
        <v>4.8192318767283034E-2</v>
      </c>
      <c r="C49" s="57">
        <f>IF(G55&gt;0,(G55-H55-C31)/(C8+C16+SUM(I47:I52)),0)</f>
        <v>6.8136917105233161E-2</v>
      </c>
      <c r="F49" s="52" t="s">
        <v>62</v>
      </c>
      <c r="G49" s="53">
        <v>300</v>
      </c>
      <c r="H49" s="54">
        <v>40</v>
      </c>
      <c r="I49" s="54"/>
    </row>
    <row r="50" spans="1:9" ht="15.75" customHeight="1" x14ac:dyDescent="0.35">
      <c r="A50" s="55" t="s">
        <v>63</v>
      </c>
      <c r="B50" s="58">
        <f>(B56*12)/C18</f>
        <v>0.14201981285705448</v>
      </c>
      <c r="C50" s="58">
        <f>(C56*12)/C55</f>
        <v>0.20079532306113609</v>
      </c>
      <c r="F50" s="52" t="s">
        <v>64</v>
      </c>
      <c r="G50" s="53">
        <v>300</v>
      </c>
      <c r="H50" s="54">
        <v>40</v>
      </c>
      <c r="I50" s="54"/>
    </row>
    <row r="51" spans="1:9" ht="15.75" customHeight="1" x14ac:dyDescent="0.35">
      <c r="A51" s="55" t="s">
        <v>65</v>
      </c>
      <c r="B51" s="58">
        <f>C37/C18</f>
        <v>4.4672874081544273E-2</v>
      </c>
      <c r="C51" s="58">
        <f>(C57*12)/C55</f>
        <v>0.1034483842856259</v>
      </c>
      <c r="F51" s="52" t="s">
        <v>66</v>
      </c>
      <c r="G51" s="53"/>
      <c r="H51" s="54"/>
      <c r="I51" s="54"/>
    </row>
    <row r="52" spans="1:9" ht="15.75" customHeight="1" x14ac:dyDescent="0.35">
      <c r="A52" s="55" t="s">
        <v>67</v>
      </c>
      <c r="B52" s="59">
        <f>(C8+C16)/C36</f>
        <v>20.750194752589564</v>
      </c>
      <c r="C52" s="59">
        <f>(C8+C16+(SUM(I47:I52)))/(G55)</f>
        <v>10.027777777777779</v>
      </c>
      <c r="F52" s="52" t="s">
        <v>68</v>
      </c>
      <c r="G52" s="53"/>
      <c r="H52" s="54"/>
      <c r="I52" s="54"/>
    </row>
    <row r="53" spans="1:9" ht="15.75" customHeight="1" x14ac:dyDescent="0.25">
      <c r="I53" s="54"/>
    </row>
    <row r="54" spans="1:9" ht="15.75" customHeight="1" x14ac:dyDescent="0.35">
      <c r="A54" s="60" t="s">
        <v>69</v>
      </c>
      <c r="B54" s="51" t="s">
        <v>56</v>
      </c>
      <c r="C54" s="51" t="s">
        <v>57</v>
      </c>
      <c r="F54" s="52" t="s">
        <v>70</v>
      </c>
      <c r="G54" s="61">
        <f t="shared" ref="G54:H54" si="4">SUM(G47:G52)</f>
        <v>1200</v>
      </c>
      <c r="H54" s="61">
        <f t="shared" si="4"/>
        <v>160</v>
      </c>
      <c r="I54" s="62"/>
    </row>
    <row r="55" spans="1:9" ht="15.75" customHeight="1" x14ac:dyDescent="0.35">
      <c r="A55" s="55" t="s">
        <v>71</v>
      </c>
      <c r="B55" s="63">
        <f>C11+C16</f>
        <v>49000</v>
      </c>
      <c r="C55" s="63">
        <f>B55+(SUM(I47:I52))</f>
        <v>49000</v>
      </c>
      <c r="F55" s="52" t="s">
        <v>72</v>
      </c>
      <c r="G55" s="61">
        <f t="shared" ref="G55:H55" si="5">G54*12</f>
        <v>14400</v>
      </c>
      <c r="H55" s="61">
        <f t="shared" si="5"/>
        <v>1920</v>
      </c>
      <c r="I55" s="62"/>
    </row>
    <row r="56" spans="1:9" ht="15.75" customHeight="1" x14ac:dyDescent="0.35">
      <c r="A56" s="55" t="s">
        <v>73</v>
      </c>
      <c r="B56" s="64">
        <f t="shared" ref="B56:B57" si="6">B36</f>
        <v>579.91423583297251</v>
      </c>
      <c r="C56" s="64">
        <f>IF(G54&gt;0,SUM(G54-B31-H54),0)</f>
        <v>819.91423583297251</v>
      </c>
    </row>
    <row r="57" spans="1:9" ht="15.75" customHeight="1" x14ac:dyDescent="0.35">
      <c r="A57" s="55" t="s">
        <v>74</v>
      </c>
      <c r="B57" s="65">
        <f t="shared" si="6"/>
        <v>182.41423583297245</v>
      </c>
      <c r="C57" s="65">
        <f>IF(G54&gt;0,SUM(G54-B31-H54)-C14+B28,0)</f>
        <v>422.41423583297245</v>
      </c>
    </row>
    <row r="58" spans="1:9" ht="15.75" customHeight="1" x14ac:dyDescent="0.25"/>
    <row r="59" spans="1:9" ht="15.75" customHeight="1" x14ac:dyDescent="0.35">
      <c r="A59" s="66"/>
      <c r="B59" s="67"/>
    </row>
    <row r="60" spans="1:9" ht="15.75" customHeight="1" x14ac:dyDescent="0.35">
      <c r="A60" s="50" t="s">
        <v>75</v>
      </c>
      <c r="B60" s="68"/>
    </row>
    <row r="61" spans="1:9" ht="15.75" customHeight="1" x14ac:dyDescent="0.35">
      <c r="A61" s="55" t="s">
        <v>76</v>
      </c>
      <c r="B61" s="55">
        <f t="shared" ref="B61:B62" si="7">B12</f>
        <v>20</v>
      </c>
    </row>
    <row r="62" spans="1:9" ht="15.75" customHeight="1" x14ac:dyDescent="0.35">
      <c r="A62" s="55" t="s">
        <v>77</v>
      </c>
      <c r="B62" s="69">
        <f t="shared" si="7"/>
        <v>2.8000000000000001E-2</v>
      </c>
    </row>
    <row r="63" spans="1:9" ht="15.75" customHeight="1" x14ac:dyDescent="0.35">
      <c r="A63" s="55" t="s">
        <v>78</v>
      </c>
      <c r="B63" s="70">
        <f>C14</f>
        <v>519.58576416702761</v>
      </c>
    </row>
    <row r="64" spans="1:9" ht="15.75" customHeight="1" x14ac:dyDescent="0.35">
      <c r="A64" s="55" t="s">
        <v>79</v>
      </c>
      <c r="B64" s="71">
        <f>C17</f>
        <v>173700.58340008662</v>
      </c>
    </row>
    <row r="65" spans="1:26" ht="15.75" customHeight="1" x14ac:dyDescent="0.35">
      <c r="A65" s="55" t="s">
        <v>80</v>
      </c>
      <c r="B65" s="71">
        <f>C17-C16-C8</f>
        <v>29300.583400086616</v>
      </c>
    </row>
    <row r="66" spans="1:26" ht="15.75" customHeight="1" x14ac:dyDescent="0.35">
      <c r="A66" s="55" t="s">
        <v>81</v>
      </c>
      <c r="B66" s="180">
        <f>B65/B12/12</f>
        <v>122.08576416702756</v>
      </c>
    </row>
    <row r="67" spans="1:26" ht="15.75" customHeight="1" x14ac:dyDescent="0.35">
      <c r="A67" s="55" t="s">
        <v>82</v>
      </c>
      <c r="B67" s="72">
        <f>B63-B66</f>
        <v>397.50000000000006</v>
      </c>
    </row>
    <row r="68" spans="1:26" ht="15.75" customHeight="1" x14ac:dyDescent="0.35">
      <c r="A68" s="66"/>
      <c r="B68" s="67"/>
    </row>
    <row r="69" spans="1:26" ht="15.75" customHeight="1" x14ac:dyDescent="0.35">
      <c r="A69" s="66"/>
      <c r="B69" s="67"/>
    </row>
    <row r="70" spans="1:26" ht="15.75" customHeight="1" x14ac:dyDescent="0.35">
      <c r="A70" s="66"/>
      <c r="B70" s="67"/>
    </row>
    <row r="71" spans="1:26" ht="15.75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spans="1:26" ht="15.75" customHeight="1" x14ac:dyDescent="0.2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1:26" ht="15.75" customHeight="1" x14ac:dyDescent="0.25"/>
    <row r="74" spans="1:26" ht="15.75" customHeight="1" x14ac:dyDescent="0.35">
      <c r="A74" s="74" t="s">
        <v>83</v>
      </c>
    </row>
    <row r="75" spans="1:26" ht="15.75" customHeight="1" x14ac:dyDescent="0.3">
      <c r="A75" s="3" t="s">
        <v>83</v>
      </c>
      <c r="B75" s="75" t="s">
        <v>56</v>
      </c>
      <c r="C75" s="75" t="s">
        <v>57</v>
      </c>
    </row>
    <row r="76" spans="1:26" ht="15.75" customHeight="1" x14ac:dyDescent="0.3">
      <c r="A76" s="76" t="s">
        <v>84</v>
      </c>
      <c r="B76" s="77"/>
      <c r="C76" s="77"/>
      <c r="D76" s="78"/>
      <c r="E76" s="79"/>
      <c r="F76" s="79"/>
    </row>
    <row r="77" spans="1:26" ht="15.75" customHeight="1" x14ac:dyDescent="0.25">
      <c r="A77" s="80"/>
      <c r="D77" s="81"/>
      <c r="E77" s="79"/>
      <c r="F77" s="79"/>
    </row>
    <row r="78" spans="1:26" ht="15.75" customHeight="1" x14ac:dyDescent="0.25">
      <c r="A78" s="80" t="s">
        <v>85</v>
      </c>
      <c r="B78" s="27">
        <v>0.02</v>
      </c>
      <c r="C78" s="27">
        <v>0.02</v>
      </c>
      <c r="D78" s="81"/>
      <c r="E78" s="79"/>
      <c r="F78" s="79"/>
    </row>
    <row r="79" spans="1:26" ht="15.75" customHeight="1" x14ac:dyDescent="0.25">
      <c r="A79" s="80" t="s">
        <v>86</v>
      </c>
      <c r="B79" s="26">
        <v>20</v>
      </c>
      <c r="C79" s="26">
        <v>20</v>
      </c>
      <c r="D79" s="81"/>
      <c r="E79" s="79"/>
      <c r="F79" s="79"/>
    </row>
    <row r="80" spans="1:26" ht="15.75" customHeight="1" x14ac:dyDescent="0.35">
      <c r="A80" s="80" t="s">
        <v>87</v>
      </c>
      <c r="B80" s="82">
        <f>C4*((1+B78)^B79)</f>
        <v>178313.68751740252</v>
      </c>
      <c r="C80" s="82">
        <f>C4*((1+C78)^C79)</f>
        <v>178313.68751740252</v>
      </c>
      <c r="D80" s="81" t="s">
        <v>88</v>
      </c>
      <c r="E80" s="79"/>
      <c r="F80" s="79"/>
    </row>
    <row r="81" spans="1:6" ht="15.75" customHeight="1" x14ac:dyDescent="0.35">
      <c r="A81" s="80" t="s">
        <v>89</v>
      </c>
      <c r="B81" s="82">
        <f>B79*C37</f>
        <v>43779.416599913384</v>
      </c>
      <c r="C81" s="82">
        <f>C79*C43</f>
        <v>101379.41659991338</v>
      </c>
      <c r="D81" s="83" t="s">
        <v>90</v>
      </c>
    </row>
    <row r="82" spans="1:6" ht="15.75" customHeight="1" x14ac:dyDescent="0.35">
      <c r="A82" s="84"/>
      <c r="B82" s="85"/>
      <c r="C82" s="85"/>
      <c r="D82" s="86"/>
    </row>
    <row r="83" spans="1:6" ht="15.75" customHeight="1" x14ac:dyDescent="0.25"/>
    <row r="84" spans="1:6" ht="48" customHeight="1" x14ac:dyDescent="0.35">
      <c r="A84" s="181" t="s">
        <v>91</v>
      </c>
      <c r="B84" s="75" t="s">
        <v>56</v>
      </c>
      <c r="C84" s="75" t="s">
        <v>57</v>
      </c>
    </row>
    <row r="85" spans="1:6" ht="15.75" customHeight="1" x14ac:dyDescent="0.3">
      <c r="A85" s="87" t="s">
        <v>92</v>
      </c>
      <c r="B85" s="6"/>
      <c r="C85" s="6"/>
      <c r="D85" s="7"/>
    </row>
    <row r="86" spans="1:6" ht="15.75" customHeight="1" x14ac:dyDescent="0.3">
      <c r="A86" s="88" t="s">
        <v>93</v>
      </c>
      <c r="B86" s="42">
        <f>C36</f>
        <v>6958.9708299956701</v>
      </c>
      <c r="C86" s="42">
        <f>C56*12</f>
        <v>9838.9708299956692</v>
      </c>
      <c r="D86" s="83"/>
    </row>
    <row r="87" spans="1:6" ht="115.5" customHeight="1" x14ac:dyDescent="0.3">
      <c r="A87" s="88" t="s">
        <v>94</v>
      </c>
      <c r="B87" s="89">
        <v>0.5</v>
      </c>
      <c r="C87" s="89"/>
      <c r="D87" s="90" t="s">
        <v>95</v>
      </c>
      <c r="E87" s="91"/>
      <c r="F87" s="91"/>
    </row>
    <row r="88" spans="1:6" ht="67.5" customHeight="1" x14ac:dyDescent="0.25">
      <c r="A88" s="92" t="s">
        <v>96</v>
      </c>
      <c r="B88" s="35">
        <v>23700</v>
      </c>
      <c r="C88" s="35">
        <v>23700</v>
      </c>
      <c r="D88" s="83"/>
    </row>
    <row r="89" spans="1:6" ht="15.75" customHeight="1" x14ac:dyDescent="0.3">
      <c r="A89" s="84" t="s">
        <v>97</v>
      </c>
      <c r="B89" s="93">
        <f t="shared" ref="B89:C89" si="8">B88*0.03</f>
        <v>711</v>
      </c>
      <c r="C89" s="93">
        <f t="shared" si="8"/>
        <v>711</v>
      </c>
      <c r="D89" s="86"/>
    </row>
    <row r="90" spans="1:6" ht="15.75" customHeight="1" x14ac:dyDescent="0.25">
      <c r="A90" s="94" t="s">
        <v>98</v>
      </c>
    </row>
    <row r="91" spans="1:6" ht="15.75" customHeight="1" x14ac:dyDescent="0.25">
      <c r="A91" s="94" t="s">
        <v>99</v>
      </c>
    </row>
    <row r="92" spans="1:6" ht="15.75" customHeight="1" x14ac:dyDescent="0.25"/>
    <row r="93" spans="1:6" ht="15.75" customHeight="1" x14ac:dyDescent="0.3">
      <c r="A93" s="95" t="s">
        <v>100</v>
      </c>
      <c r="B93" s="6"/>
      <c r="C93" s="6"/>
      <c r="D93" s="7"/>
    </row>
    <row r="94" spans="1:6" ht="15.75" customHeight="1" x14ac:dyDescent="0.3">
      <c r="A94" s="88" t="s">
        <v>101</v>
      </c>
      <c r="B94" s="96">
        <f>B86-(B87*B86)-B89-B90</f>
        <v>2768.4854149978351</v>
      </c>
      <c r="C94" s="96">
        <f>C86-(C87*C86)-C89-B89-C90</f>
        <v>8416.9708299956692</v>
      </c>
      <c r="D94" s="97" t="s">
        <v>102</v>
      </c>
      <c r="E94" s="98"/>
      <c r="F94" s="98"/>
    </row>
    <row r="95" spans="1:6" ht="15.75" customHeight="1" x14ac:dyDescent="0.25">
      <c r="A95" s="88"/>
      <c r="D95" s="83"/>
    </row>
    <row r="96" spans="1:6" ht="15.75" customHeight="1" x14ac:dyDescent="0.3">
      <c r="A96" s="99" t="s">
        <v>103</v>
      </c>
      <c r="D96" s="83"/>
    </row>
    <row r="97" spans="1:6" ht="15.75" customHeight="1" x14ac:dyDescent="0.3">
      <c r="A97" s="88" t="s">
        <v>104</v>
      </c>
      <c r="B97" s="89">
        <v>0.3</v>
      </c>
      <c r="D97" s="97" t="s">
        <v>105</v>
      </c>
      <c r="E97" s="98"/>
      <c r="F97" s="98"/>
    </row>
    <row r="98" spans="1:6" ht="15.75" customHeight="1" x14ac:dyDescent="0.3">
      <c r="A98" s="88" t="s">
        <v>106</v>
      </c>
      <c r="B98" s="96">
        <f>B86-(B94*B97)</f>
        <v>6128.4252054963199</v>
      </c>
      <c r="C98" s="96">
        <f>C86-(C94*B97)</f>
        <v>7313.8795809969688</v>
      </c>
      <c r="D98" s="97" t="s">
        <v>107</v>
      </c>
      <c r="E98" s="98"/>
      <c r="F98" s="98"/>
    </row>
    <row r="99" spans="1:6" ht="15.75" customHeight="1" x14ac:dyDescent="0.3">
      <c r="A99" s="88" t="s">
        <v>108</v>
      </c>
      <c r="B99" s="96">
        <f t="shared" ref="B99:C99" si="9">B98/12</f>
        <v>510.70210045802668</v>
      </c>
      <c r="C99" s="96">
        <f t="shared" si="9"/>
        <v>609.48996508308073</v>
      </c>
      <c r="D99" s="97" t="s">
        <v>109</v>
      </c>
      <c r="E99" s="98"/>
      <c r="F99" s="98"/>
    </row>
    <row r="100" spans="1:6" ht="15.75" customHeight="1" x14ac:dyDescent="0.25">
      <c r="A100" s="100" t="s">
        <v>110</v>
      </c>
      <c r="B100" s="101">
        <f>B99-C14+B28</f>
        <v>113.20210045802664</v>
      </c>
      <c r="C100" s="101">
        <f>C99-C14+B28</f>
        <v>211.98996508308068</v>
      </c>
      <c r="D100" s="86"/>
    </row>
    <row r="101" spans="1:6" ht="15.75" customHeight="1" x14ac:dyDescent="0.25"/>
    <row r="102" spans="1:6" ht="15.75" customHeight="1" x14ac:dyDescent="0.25"/>
    <row r="103" spans="1:6" ht="15.75" customHeight="1" x14ac:dyDescent="0.25"/>
    <row r="104" spans="1:6" ht="15.75" customHeight="1" x14ac:dyDescent="0.25"/>
    <row r="105" spans="1:6" ht="15.75" customHeight="1" x14ac:dyDescent="0.25"/>
    <row r="106" spans="1:6" ht="15.75" customHeight="1" x14ac:dyDescent="0.25"/>
    <row r="107" spans="1:6" ht="15.75" customHeight="1" x14ac:dyDescent="0.25"/>
    <row r="108" spans="1:6" ht="15.75" customHeight="1" x14ac:dyDescent="0.25"/>
    <row r="109" spans="1:6" ht="15.75" customHeight="1" x14ac:dyDescent="0.25"/>
    <row r="110" spans="1:6" ht="15.75" customHeight="1" x14ac:dyDescent="0.25"/>
    <row r="111" spans="1:6" ht="15.75" customHeight="1" x14ac:dyDescent="0.25"/>
    <row r="112" spans="1:6" ht="15.75" customHeight="1" x14ac:dyDescent="0.25"/>
    <row r="113" spans="1:3" ht="15.75" customHeight="1" x14ac:dyDescent="0.25"/>
    <row r="114" spans="1:3" ht="15.75" customHeight="1" x14ac:dyDescent="0.25"/>
    <row r="115" spans="1:3" ht="15.75" customHeight="1" x14ac:dyDescent="0.25"/>
    <row r="116" spans="1:3" ht="15.75" customHeight="1" x14ac:dyDescent="0.25"/>
    <row r="117" spans="1:3" ht="15.75" customHeight="1" x14ac:dyDescent="0.25"/>
    <row r="118" spans="1:3" ht="15.75" customHeight="1" x14ac:dyDescent="0.25"/>
    <row r="119" spans="1:3" ht="15.75" customHeight="1" x14ac:dyDescent="0.25"/>
    <row r="120" spans="1:3" ht="15.75" customHeight="1" x14ac:dyDescent="0.25">
      <c r="B120" s="102"/>
      <c r="C120" s="102"/>
    </row>
    <row r="121" spans="1:3" ht="15.75" customHeight="1" x14ac:dyDescent="0.25">
      <c r="A121" s="102"/>
    </row>
    <row r="122" spans="1:3" ht="15.75" customHeight="1" x14ac:dyDescent="0.25">
      <c r="A122" s="102"/>
    </row>
    <row r="123" spans="1:3" ht="15.75" customHeight="1" x14ac:dyDescent="0.25">
      <c r="A123" s="102"/>
    </row>
    <row r="124" spans="1:3" ht="15.75" customHeight="1" x14ac:dyDescent="0.25">
      <c r="A124" s="102"/>
    </row>
    <row r="125" spans="1:3" ht="15.75" customHeight="1" x14ac:dyDescent="0.25">
      <c r="A125" s="102"/>
    </row>
    <row r="126" spans="1:3" ht="15.75" customHeight="1" x14ac:dyDescent="0.25">
      <c r="A126" s="102"/>
    </row>
    <row r="127" spans="1:3" ht="15.75" customHeight="1" x14ac:dyDescent="0.25">
      <c r="A127" s="102"/>
    </row>
    <row r="128" spans="1:3" ht="15.75" customHeight="1" x14ac:dyDescent="0.25">
      <c r="A128" s="102"/>
    </row>
    <row r="129" spans="1:7" ht="15.75" customHeight="1" x14ac:dyDescent="0.25">
      <c r="A129" s="102"/>
    </row>
    <row r="130" spans="1:7" ht="15.75" customHeight="1" x14ac:dyDescent="0.25">
      <c r="A130" s="102"/>
    </row>
    <row r="131" spans="1:7" ht="15.75" hidden="1" customHeight="1" x14ac:dyDescent="0.25">
      <c r="A131" s="102"/>
    </row>
    <row r="132" spans="1:7" ht="15.75" hidden="1" customHeight="1" x14ac:dyDescent="0.25">
      <c r="A132" s="102"/>
    </row>
    <row r="133" spans="1:7" ht="15.75" hidden="1" customHeight="1" x14ac:dyDescent="0.25">
      <c r="A133" s="102"/>
    </row>
    <row r="134" spans="1:7" ht="15.75" hidden="1" customHeight="1" x14ac:dyDescent="0.25">
      <c r="A134" s="102"/>
    </row>
    <row r="135" spans="1:7" ht="15.75" hidden="1" customHeight="1" x14ac:dyDescent="0.25">
      <c r="A135" s="102"/>
    </row>
    <row r="136" spans="1:7" ht="15.75" hidden="1" customHeight="1" x14ac:dyDescent="0.25">
      <c r="A136" s="102"/>
    </row>
    <row r="137" spans="1:7" ht="15.75" hidden="1" customHeight="1" x14ac:dyDescent="0.25">
      <c r="A137" s="102"/>
    </row>
    <row r="138" spans="1:7" ht="15.75" hidden="1" customHeight="1" x14ac:dyDescent="0.25">
      <c r="A138" s="102"/>
    </row>
    <row r="139" spans="1:7" ht="15.75" hidden="1" customHeight="1" x14ac:dyDescent="0.25">
      <c r="A139" s="102"/>
      <c r="B139" s="103"/>
      <c r="G139" s="103"/>
    </row>
    <row r="140" spans="1:7" ht="15.75" hidden="1" customHeight="1" x14ac:dyDescent="0.25">
      <c r="A140" s="102"/>
      <c r="C140" s="103"/>
      <c r="G140" s="103"/>
    </row>
    <row r="141" spans="1:7" ht="15.75" hidden="1" customHeight="1" x14ac:dyDescent="0.25">
      <c r="A141" s="102"/>
    </row>
    <row r="142" spans="1:7" ht="15.75" hidden="1" customHeight="1" x14ac:dyDescent="0.25">
      <c r="A142" s="102"/>
    </row>
    <row r="143" spans="1:7" ht="15.75" hidden="1" customHeight="1" x14ac:dyDescent="0.25">
      <c r="A143" s="102"/>
    </row>
    <row r="144" spans="1:7" ht="15.75" hidden="1" customHeight="1" x14ac:dyDescent="0.25">
      <c r="A144" s="102"/>
    </row>
    <row r="145" spans="1:1" ht="15.75" customHeight="1" x14ac:dyDescent="0.25">
      <c r="A145" s="102"/>
    </row>
    <row r="146" spans="1:1" ht="15.75" customHeight="1" x14ac:dyDescent="0.25">
      <c r="A146" s="102"/>
    </row>
    <row r="147" spans="1:1" ht="15.75" customHeight="1" x14ac:dyDescent="0.25">
      <c r="A147" s="102"/>
    </row>
    <row r="148" spans="1:1" ht="15.75" customHeight="1" x14ac:dyDescent="0.25">
      <c r="A148" s="102"/>
    </row>
    <row r="149" spans="1:1" ht="15.75" customHeight="1" x14ac:dyDescent="0.25">
      <c r="A149" s="102"/>
    </row>
    <row r="150" spans="1:1" ht="15.75" customHeight="1" x14ac:dyDescent="0.25">
      <c r="A150" s="102"/>
    </row>
    <row r="151" spans="1:1" ht="15.75" customHeight="1" x14ac:dyDescent="0.25">
      <c r="A151" s="102"/>
    </row>
    <row r="152" spans="1:1" ht="15.75" customHeight="1" x14ac:dyDescent="0.25">
      <c r="A152" s="102"/>
    </row>
    <row r="153" spans="1:1" ht="15.75" customHeight="1" x14ac:dyDescent="0.25">
      <c r="A153" s="102"/>
    </row>
    <row r="154" spans="1:1" ht="15.75" customHeight="1" x14ac:dyDescent="0.25">
      <c r="A154" s="102"/>
    </row>
    <row r="155" spans="1:1" ht="15.75" customHeight="1" x14ac:dyDescent="0.25">
      <c r="A155" s="102"/>
    </row>
    <row r="156" spans="1:1" ht="15.75" customHeight="1" x14ac:dyDescent="0.25">
      <c r="A156" s="102"/>
    </row>
    <row r="157" spans="1:1" ht="15.75" customHeight="1" x14ac:dyDescent="0.25">
      <c r="A157" s="102"/>
    </row>
    <row r="158" spans="1:1" ht="15.75" customHeight="1" x14ac:dyDescent="0.25">
      <c r="A158" s="102"/>
    </row>
    <row r="159" spans="1:1" ht="15.75" customHeight="1" x14ac:dyDescent="0.25">
      <c r="A159" s="102"/>
    </row>
    <row r="160" spans="1:1" ht="15.75" customHeight="1" x14ac:dyDescent="0.25">
      <c r="A160" s="102"/>
    </row>
    <row r="161" spans="1:1" ht="15.75" customHeight="1" x14ac:dyDescent="0.25">
      <c r="A161" s="102"/>
    </row>
    <row r="162" spans="1:1" ht="15.75" customHeight="1" x14ac:dyDescent="0.25">
      <c r="A162" s="102"/>
    </row>
    <row r="163" spans="1:1" ht="15.75" customHeight="1" x14ac:dyDescent="0.25">
      <c r="A163" s="102"/>
    </row>
    <row r="164" spans="1:1" ht="15.75" customHeight="1" x14ac:dyDescent="0.25">
      <c r="A164" s="102"/>
    </row>
    <row r="165" spans="1:1" ht="15.75" customHeight="1" x14ac:dyDescent="0.25">
      <c r="A165" s="102"/>
    </row>
    <row r="166" spans="1:1" ht="15.75" customHeight="1" x14ac:dyDescent="0.25"/>
    <row r="167" spans="1:1" ht="15.75" customHeight="1" x14ac:dyDescent="0.25"/>
    <row r="168" spans="1:1" ht="15.75" customHeight="1" x14ac:dyDescent="0.25"/>
    <row r="169" spans="1:1" ht="15.75" customHeight="1" x14ac:dyDescent="0.25"/>
    <row r="170" spans="1:1" ht="15.75" customHeight="1" x14ac:dyDescent="0.25"/>
    <row r="171" spans="1:1" ht="15.75" customHeight="1" x14ac:dyDescent="0.25"/>
    <row r="172" spans="1:1" ht="15.75" customHeight="1" x14ac:dyDescent="0.25"/>
    <row r="173" spans="1:1" ht="15.75" customHeight="1" x14ac:dyDescent="0.25"/>
    <row r="174" spans="1:1" ht="15.75" customHeight="1" x14ac:dyDescent="0.25"/>
    <row r="175" spans="1:1" ht="15.75" customHeight="1" x14ac:dyDescent="0.25"/>
    <row r="176" spans="1:1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mergeCells count="2">
    <mergeCell ref="A46:B46"/>
    <mergeCell ref="C46:D46"/>
  </mergeCells>
  <conditionalFormatting sqref="B49:C49">
    <cfRule type="cellIs" dxfId="3" priority="1" operator="greaterThan">
      <formula>0.07</formula>
    </cfRule>
    <cfRule type="cellIs" dxfId="2" priority="2" operator="between">
      <formula>0.0501</formula>
      <formula>0.07</formula>
    </cfRule>
    <cfRule type="cellIs" dxfId="1" priority="3" operator="between">
      <formula>0.01</formula>
      <formula>0.05</formula>
    </cfRule>
    <cfRule type="cellIs" dxfId="0" priority="4" operator="lessThan">
      <formula>0.01</formula>
    </cfRule>
  </conditionalFormatting>
  <pageMargins left="0.7" right="0.7" top="0.75" bottom="0.75" header="0" footer="0"/>
  <pageSetup paperSize="9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Introduce un número entre 0.01 and 15" xr:uid="{00000000-0002-0000-0000-000000000000}">
          <x14:formula1>
            <xm:f>Sheet2!$A$2:$A$1802</xm:f>
          </x14:formula1>
          <xm:sqref>B5 B13 B78:C78</xm:sqref>
        </x14:dataValidation>
        <x14:dataValidation type="list" allowBlank="1" xr:uid="{00000000-0002-0000-0000-000001000000}">
          <x14:formula1>
            <xm:f>Sheet2!$B$2:$B$41</xm:f>
          </x14:formula1>
          <xm:sqref>B12 B79:C79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Z103"/>
  <sheetViews>
    <sheetView workbookViewId="0">
      <selection activeCell="D23" sqref="D23"/>
    </sheetView>
  </sheetViews>
  <sheetFormatPr defaultColWidth="12.6328125" defaultRowHeight="15" customHeight="1" x14ac:dyDescent="0.25"/>
  <cols>
    <col min="2" max="2" width="50.36328125" customWidth="1"/>
    <col min="3" max="3" width="25.453125" customWidth="1"/>
    <col min="4" max="4" width="21.90625" customWidth="1"/>
    <col min="7" max="9" width="35.7265625" customWidth="1"/>
    <col min="13" max="15" width="29.36328125" customWidth="1"/>
  </cols>
  <sheetData>
    <row r="3" spans="2:16" ht="13" x14ac:dyDescent="0.3">
      <c r="B3" s="104" t="s">
        <v>111</v>
      </c>
      <c r="C3" s="105"/>
      <c r="D3" s="106"/>
      <c r="P3" s="94"/>
    </row>
    <row r="4" spans="2:16" ht="15" customHeight="1" x14ac:dyDescent="0.25">
      <c r="B4" s="107"/>
      <c r="D4" s="108"/>
      <c r="P4" s="94"/>
    </row>
    <row r="5" spans="2:16" ht="13" x14ac:dyDescent="0.3">
      <c r="B5" s="107"/>
      <c r="C5" s="109" t="s">
        <v>28</v>
      </c>
      <c r="D5" s="110" t="s">
        <v>42</v>
      </c>
      <c r="P5" s="94"/>
    </row>
    <row r="6" spans="2:16" ht="13" x14ac:dyDescent="0.3">
      <c r="B6" s="111" t="str">
        <f>VIVIENDA!A31</f>
        <v>COSTE TOTAL</v>
      </c>
      <c r="C6" s="112">
        <f>VIVIENDA!B31</f>
        <v>220.08576416702755</v>
      </c>
      <c r="D6" s="113">
        <f>VIVIENDA!C31</f>
        <v>2641.0291700043308</v>
      </c>
      <c r="E6" s="94"/>
      <c r="P6" s="94"/>
    </row>
    <row r="7" spans="2:16" ht="15" customHeight="1" x14ac:dyDescent="0.25">
      <c r="B7" s="107"/>
      <c r="C7" s="94"/>
      <c r="D7" s="108"/>
      <c r="E7" s="94"/>
      <c r="P7" s="94"/>
    </row>
    <row r="8" spans="2:16" ht="13" x14ac:dyDescent="0.3">
      <c r="B8" s="114" t="str">
        <f>VIVIENDA!A33</f>
        <v>INGRESOS TRADICIONAL</v>
      </c>
      <c r="C8" s="94"/>
      <c r="D8" s="108"/>
      <c r="E8" s="94"/>
      <c r="P8" s="94"/>
    </row>
    <row r="9" spans="2:16" ht="13" x14ac:dyDescent="0.3">
      <c r="B9" s="115" t="str">
        <f>VIVIENDA!A34</f>
        <v>Ingresos</v>
      </c>
      <c r="C9" s="33" t="str">
        <f>VIVIENDA!B34</f>
        <v>Mensual</v>
      </c>
      <c r="D9" s="116" t="str">
        <f>VIVIENDA!C34</f>
        <v>Anualizado</v>
      </c>
      <c r="E9" s="94"/>
      <c r="P9" s="94"/>
    </row>
    <row r="10" spans="2:16" ht="13" x14ac:dyDescent="0.3">
      <c r="B10" s="117" t="str">
        <f>VIVIENDA!A35</f>
        <v>Cuota de alquiler bruta</v>
      </c>
      <c r="C10" s="118">
        <f>VIVIENDA!B35</f>
        <v>800</v>
      </c>
      <c r="D10" s="119">
        <f>VIVIENDA!C35</f>
        <v>9600</v>
      </c>
      <c r="E10" s="94"/>
      <c r="P10" s="94"/>
    </row>
    <row r="11" spans="2:16" ht="13" x14ac:dyDescent="0.3">
      <c r="B11" s="117" t="str">
        <f>VIVIENDA!A36</f>
        <v>Ingreso menos gastos mantenimiento</v>
      </c>
      <c r="C11" s="42">
        <f>VIVIENDA!B36</f>
        <v>579.91423583297251</v>
      </c>
      <c r="D11" s="119">
        <f>VIVIENDA!C36</f>
        <v>6958.9708299956701</v>
      </c>
      <c r="E11" s="94"/>
      <c r="P11" s="94"/>
    </row>
    <row r="12" spans="2:16" ht="13" x14ac:dyDescent="0.3">
      <c r="B12" s="120" t="str">
        <f>VIVIENDA!A37</f>
        <v>Free cashflow</v>
      </c>
      <c r="C12" s="45">
        <f>VIVIENDA!B37</f>
        <v>182.41423583297245</v>
      </c>
      <c r="D12" s="121">
        <f>VIVIENDA!C37</f>
        <v>2188.9708299956692</v>
      </c>
      <c r="E12" s="94"/>
      <c r="P12" s="94"/>
    </row>
    <row r="13" spans="2:16" ht="15" customHeight="1" x14ac:dyDescent="0.25">
      <c r="B13" s="107"/>
      <c r="C13" s="94"/>
      <c r="D13" s="108"/>
      <c r="E13" s="94"/>
      <c r="P13" s="94"/>
    </row>
    <row r="14" spans="2:16" ht="13" x14ac:dyDescent="0.3">
      <c r="B14" s="114" t="str">
        <f>VIVIENDA!A39</f>
        <v>INGRESOS HABITACIONES</v>
      </c>
      <c r="C14" s="94"/>
      <c r="D14" s="108"/>
      <c r="E14" s="94"/>
      <c r="P14" s="94"/>
    </row>
    <row r="15" spans="2:16" ht="13" x14ac:dyDescent="0.3">
      <c r="B15" s="115" t="str">
        <f>VIVIENDA!A40</f>
        <v>Ingresos</v>
      </c>
      <c r="C15" s="33" t="str">
        <f>VIVIENDA!B40</f>
        <v>Mensual</v>
      </c>
      <c r="D15" s="116" t="str">
        <f>VIVIENDA!C40</f>
        <v>Anualizado</v>
      </c>
      <c r="E15" s="94"/>
      <c r="P15" s="94"/>
    </row>
    <row r="16" spans="2:16" ht="13" x14ac:dyDescent="0.3">
      <c r="B16" s="117" t="str">
        <f>VIVIENDA!A41</f>
        <v>Cuota de alquiler bruta</v>
      </c>
      <c r="C16" s="118">
        <f>VIVIENDA!B41</f>
        <v>1200</v>
      </c>
      <c r="D16" s="119">
        <f>VIVIENDA!C41</f>
        <v>14400</v>
      </c>
      <c r="E16" s="94"/>
      <c r="P16" s="94"/>
    </row>
    <row r="17" spans="2:16" ht="13" x14ac:dyDescent="0.3">
      <c r="B17" s="117" t="str">
        <f>VIVIENDA!A42</f>
        <v>Ingreso menos gastos mantenimiento + gasto habitación</v>
      </c>
      <c r="C17" s="42">
        <f>VIVIENDA!B42</f>
        <v>819.91423583297251</v>
      </c>
      <c r="D17" s="119">
        <f>VIVIENDA!C42</f>
        <v>9838.9708299956692</v>
      </c>
      <c r="E17" s="94"/>
      <c r="P17" s="94"/>
    </row>
    <row r="18" spans="2:16" ht="13" x14ac:dyDescent="0.3">
      <c r="B18" s="122" t="str">
        <f>VIVIENDA!A43</f>
        <v>Free cashflow antes de impuestos (le restamos la cuota hipoteca)</v>
      </c>
      <c r="C18" s="123">
        <f>VIVIENDA!B43</f>
        <v>422.41423583297245</v>
      </c>
      <c r="D18" s="124">
        <f>VIVIENDA!C43</f>
        <v>5068.9708299956692</v>
      </c>
      <c r="E18" s="94"/>
      <c r="P18" s="94"/>
    </row>
    <row r="19" spans="2:16" ht="15" customHeight="1" x14ac:dyDescent="0.25">
      <c r="B19" s="94"/>
      <c r="C19" s="94"/>
      <c r="D19" s="94"/>
      <c r="E19" s="94"/>
    </row>
    <row r="20" spans="2:16" ht="15" customHeight="1" x14ac:dyDescent="0.25">
      <c r="B20" s="94"/>
      <c r="C20" s="94"/>
      <c r="D20" s="94"/>
      <c r="E20" s="94"/>
    </row>
    <row r="21" spans="2:16" ht="15" customHeight="1" x14ac:dyDescent="0.25">
      <c r="E21" s="94"/>
    </row>
    <row r="22" spans="2:16" ht="13" x14ac:dyDescent="0.3">
      <c r="B22" s="125" t="s">
        <v>112</v>
      </c>
      <c r="C22" s="126" t="s">
        <v>113</v>
      </c>
      <c r="D22" s="127" t="s">
        <v>114</v>
      </c>
    </row>
    <row r="23" spans="2:16" ht="15" customHeight="1" x14ac:dyDescent="0.25">
      <c r="B23" s="128"/>
      <c r="C23" s="129">
        <v>0.05</v>
      </c>
      <c r="D23" s="130">
        <v>-0.1</v>
      </c>
    </row>
    <row r="24" spans="2:16" ht="13" x14ac:dyDescent="0.3">
      <c r="B24" s="128"/>
      <c r="C24" s="109" t="s">
        <v>28</v>
      </c>
      <c r="D24" s="131" t="s">
        <v>42</v>
      </c>
    </row>
    <row r="25" spans="2:16" ht="13" x14ac:dyDescent="0.3">
      <c r="B25" s="132" t="s">
        <v>115</v>
      </c>
      <c r="C25" s="112">
        <f>C6*(1+C23)</f>
        <v>231.09005237537895</v>
      </c>
      <c r="D25" s="133">
        <f t="shared" ref="D25:D26" si="0">C25*12</f>
        <v>2773.0806285045473</v>
      </c>
    </row>
    <row r="26" spans="2:16" ht="13" x14ac:dyDescent="0.3">
      <c r="B26" s="132" t="s">
        <v>116</v>
      </c>
      <c r="C26" s="112">
        <f>(VIVIENDA!H54)*(1+C23)</f>
        <v>168</v>
      </c>
      <c r="D26" s="133">
        <f t="shared" si="0"/>
        <v>2016</v>
      </c>
    </row>
    <row r="27" spans="2:16" ht="13" x14ac:dyDescent="0.3">
      <c r="B27" s="134" t="s">
        <v>117</v>
      </c>
      <c r="D27" s="135"/>
    </row>
    <row r="28" spans="2:16" ht="13" x14ac:dyDescent="0.3">
      <c r="B28" s="136" t="s">
        <v>41</v>
      </c>
      <c r="C28" s="33" t="s">
        <v>28</v>
      </c>
      <c r="D28" s="137" t="s">
        <v>42</v>
      </c>
    </row>
    <row r="29" spans="2:16" ht="13" x14ac:dyDescent="0.3">
      <c r="B29" s="138" t="s">
        <v>43</v>
      </c>
      <c r="C29" s="139">
        <f>C10*(1+$D$23)</f>
        <v>720</v>
      </c>
      <c r="D29" s="140">
        <f t="shared" ref="D29:D31" si="1">C29*12</f>
        <v>8640</v>
      </c>
    </row>
    <row r="30" spans="2:16" ht="13" x14ac:dyDescent="0.3">
      <c r="B30" s="138" t="s">
        <v>44</v>
      </c>
      <c r="C30" s="42">
        <f>C29-C25</f>
        <v>488.90994762462105</v>
      </c>
      <c r="D30" s="140">
        <f t="shared" si="1"/>
        <v>5866.9193714954527</v>
      </c>
    </row>
    <row r="31" spans="2:16" ht="13" x14ac:dyDescent="0.3">
      <c r="B31" s="141" t="s">
        <v>45</v>
      </c>
      <c r="C31" s="45">
        <f>C30-VIVIENDA!C14+VIVIENDA!B28</f>
        <v>91.409947624621012</v>
      </c>
      <c r="D31" s="142">
        <f t="shared" si="1"/>
        <v>1096.9193714954522</v>
      </c>
    </row>
    <row r="32" spans="2:16" ht="15" customHeight="1" x14ac:dyDescent="0.25">
      <c r="B32" s="128"/>
      <c r="D32" s="135"/>
    </row>
    <row r="33" spans="2:4" ht="13" x14ac:dyDescent="0.3">
      <c r="B33" s="134" t="s">
        <v>46</v>
      </c>
      <c r="D33" s="135"/>
    </row>
    <row r="34" spans="2:4" ht="13" x14ac:dyDescent="0.3">
      <c r="B34" s="136" t="s">
        <v>41</v>
      </c>
      <c r="C34" s="33" t="s">
        <v>28</v>
      </c>
      <c r="D34" s="137" t="s">
        <v>42</v>
      </c>
    </row>
    <row r="35" spans="2:4" ht="13" x14ac:dyDescent="0.3">
      <c r="B35" s="138" t="s">
        <v>43</v>
      </c>
      <c r="C35" s="118">
        <f>C16*(1+D23)</f>
        <v>1080</v>
      </c>
      <c r="D35" s="140">
        <f t="shared" ref="D35:D37" si="2">C35*12</f>
        <v>12960</v>
      </c>
    </row>
    <row r="36" spans="2:4" ht="13" x14ac:dyDescent="0.3">
      <c r="B36" s="138" t="s">
        <v>47</v>
      </c>
      <c r="C36" s="42">
        <f>C35-(C25+C26)</f>
        <v>680.90994762462105</v>
      </c>
      <c r="D36" s="140">
        <f t="shared" si="2"/>
        <v>8170.9193714954527</v>
      </c>
    </row>
    <row r="37" spans="2:4" ht="13" x14ac:dyDescent="0.3">
      <c r="B37" s="143" t="s">
        <v>48</v>
      </c>
      <c r="C37" s="144">
        <f>C36-VIVIENDA!C14+VIVIENDA!B28</f>
        <v>283.409947624621</v>
      </c>
      <c r="D37" s="145">
        <f t="shared" si="2"/>
        <v>3400.9193714954517</v>
      </c>
    </row>
    <row r="41" spans="2:4" ht="13" x14ac:dyDescent="0.3">
      <c r="B41" s="146" t="s">
        <v>118</v>
      </c>
      <c r="C41" s="147" t="s">
        <v>119</v>
      </c>
      <c r="D41" s="148" t="s">
        <v>120</v>
      </c>
    </row>
    <row r="42" spans="2:4" ht="15" customHeight="1" x14ac:dyDescent="0.25">
      <c r="B42" s="149"/>
      <c r="C42" s="129">
        <v>0</v>
      </c>
      <c r="D42" s="150">
        <v>0.1</v>
      </c>
    </row>
    <row r="43" spans="2:4" ht="13" x14ac:dyDescent="0.3">
      <c r="B43" s="149"/>
      <c r="C43" s="109" t="str">
        <f t="shared" ref="C43:D43" si="3">C24</f>
        <v>Mensual</v>
      </c>
      <c r="D43" s="151" t="str">
        <f t="shared" si="3"/>
        <v>Anualizado</v>
      </c>
    </row>
    <row r="44" spans="2:4" ht="13" x14ac:dyDescent="0.3">
      <c r="B44" s="152" t="s">
        <v>121</v>
      </c>
      <c r="C44" s="112">
        <f>C6*(1+C42)</f>
        <v>220.08576416702755</v>
      </c>
      <c r="D44" s="153">
        <f t="shared" ref="D44:D45" si="4">C44*12</f>
        <v>2641.0291700043308</v>
      </c>
    </row>
    <row r="45" spans="2:4" ht="13" x14ac:dyDescent="0.3">
      <c r="B45" s="152" t="str">
        <f t="shared" ref="B45:B56" si="5">B26</f>
        <v>COSTE EXTRA HABITACIONES</v>
      </c>
      <c r="C45" s="112">
        <f>(VIVIENDA!H54)*(1+C42)</f>
        <v>160</v>
      </c>
      <c r="D45" s="112">
        <f t="shared" si="4"/>
        <v>1920</v>
      </c>
    </row>
    <row r="46" spans="2:4" ht="13" x14ac:dyDescent="0.3">
      <c r="B46" s="154" t="str">
        <f t="shared" si="5"/>
        <v xml:space="preserve">INGRESOS TRADICIONAL </v>
      </c>
      <c r="C46" s="94"/>
      <c r="D46" s="155"/>
    </row>
    <row r="47" spans="2:4" ht="13" x14ac:dyDescent="0.3">
      <c r="B47" s="156" t="str">
        <f t="shared" si="5"/>
        <v>Ingresos</v>
      </c>
      <c r="C47" s="33" t="str">
        <f t="shared" ref="C47:D47" si="6">C9</f>
        <v>Mensual</v>
      </c>
      <c r="D47" s="157" t="str">
        <f t="shared" si="6"/>
        <v>Anualizado</v>
      </c>
    </row>
    <row r="48" spans="2:4" ht="13" x14ac:dyDescent="0.3">
      <c r="B48" s="158" t="str">
        <f t="shared" si="5"/>
        <v>Cuota de alquiler bruta</v>
      </c>
      <c r="C48" s="139">
        <f>C10*(1+D42)</f>
        <v>880.00000000000011</v>
      </c>
      <c r="D48" s="159">
        <f t="shared" ref="D48:D50" si="7">C48*12</f>
        <v>10560.000000000002</v>
      </c>
    </row>
    <row r="49" spans="1:26" ht="13" x14ac:dyDescent="0.3">
      <c r="B49" s="158" t="str">
        <f t="shared" si="5"/>
        <v>Ingreso menos gastos mantenimiento</v>
      </c>
      <c r="C49" s="42">
        <f>C48-C44</f>
        <v>659.91423583297251</v>
      </c>
      <c r="D49" s="159">
        <f t="shared" si="7"/>
        <v>7918.9708299956701</v>
      </c>
    </row>
    <row r="50" spans="1:26" ht="13" x14ac:dyDescent="0.3">
      <c r="B50" s="160" t="str">
        <f t="shared" si="5"/>
        <v>Free cashflow</v>
      </c>
      <c r="C50" s="45">
        <f>C49-VIVIENDA!C14+VIVIENDA!B28</f>
        <v>262.41423583297245</v>
      </c>
      <c r="D50" s="161">
        <f t="shared" si="7"/>
        <v>3148.9708299956692</v>
      </c>
    </row>
    <row r="51" spans="1:26" ht="15" customHeight="1" x14ac:dyDescent="0.25">
      <c r="B51" s="149"/>
      <c r="C51" s="94"/>
      <c r="D51" s="155"/>
    </row>
    <row r="52" spans="1:26" ht="13" x14ac:dyDescent="0.3">
      <c r="B52" s="154" t="str">
        <f t="shared" si="5"/>
        <v>INGRESOS HABITACIONES</v>
      </c>
      <c r="C52" s="94"/>
      <c r="D52" s="155"/>
    </row>
    <row r="53" spans="1:26" ht="13" x14ac:dyDescent="0.3">
      <c r="B53" s="156" t="str">
        <f t="shared" si="5"/>
        <v>Ingresos</v>
      </c>
      <c r="C53" s="33" t="str">
        <f t="shared" ref="C53:D53" si="8">C15</f>
        <v>Mensual</v>
      </c>
      <c r="D53" s="157" t="str">
        <f t="shared" si="8"/>
        <v>Anualizado</v>
      </c>
      <c r="G53" s="94">
        <f>VIVIENDA!A53</f>
        <v>0</v>
      </c>
      <c r="H53" s="94">
        <f>VIVIENDA!B53</f>
        <v>0</v>
      </c>
      <c r="I53" s="94">
        <f>VIVIENDA!C53</f>
        <v>0</v>
      </c>
    </row>
    <row r="54" spans="1:26" ht="13" x14ac:dyDescent="0.3">
      <c r="B54" s="158" t="str">
        <f t="shared" si="5"/>
        <v>Cuota de alquiler bruta</v>
      </c>
      <c r="C54" s="118">
        <f>C16*(1+D42)</f>
        <v>1320</v>
      </c>
      <c r="D54" s="159">
        <f t="shared" ref="D54:D56" si="9">C54*12</f>
        <v>15840</v>
      </c>
    </row>
    <row r="55" spans="1:26" ht="13" x14ac:dyDescent="0.3">
      <c r="B55" s="158" t="str">
        <f t="shared" si="5"/>
        <v>Ingreso menos gastos mantenimiento + gasto habitación</v>
      </c>
      <c r="C55" s="42">
        <f>C54-(C44+C45)</f>
        <v>939.91423583297251</v>
      </c>
      <c r="D55" s="159">
        <f t="shared" si="9"/>
        <v>11278.970829995669</v>
      </c>
    </row>
    <row r="56" spans="1:26" ht="13" x14ac:dyDescent="0.3">
      <c r="B56" s="162" t="str">
        <f t="shared" si="5"/>
        <v>Free cashflow antes de impuestos (le restamos la cuota hipoteca)</v>
      </c>
      <c r="C56" s="163">
        <f>C55-VIVIENDA!C14+VIVIENDA!B28</f>
        <v>542.41423583297251</v>
      </c>
      <c r="D56" s="164">
        <f t="shared" si="9"/>
        <v>6508.9708299956701</v>
      </c>
    </row>
    <row r="63" spans="1:26" ht="12.5" x14ac:dyDescent="0.25">
      <c r="A63" s="165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</row>
    <row r="64" spans="1:26" ht="12.5" x14ac:dyDescent="0.25">
      <c r="A64" s="165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</row>
    <row r="65" spans="1:26" ht="12.5" x14ac:dyDescent="0.25">
      <c r="A65" s="165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</row>
    <row r="66" spans="1:26" ht="12.5" x14ac:dyDescent="0.25">
      <c r="A66" s="165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</row>
    <row r="67" spans="1:26" ht="12.5" x14ac:dyDescent="0.25">
      <c r="A67" s="165"/>
      <c r="B67" s="165"/>
      <c r="C67" s="165" t="s">
        <v>122</v>
      </c>
      <c r="D67" s="165" t="s">
        <v>123</v>
      </c>
      <c r="E67" s="165" t="s">
        <v>124</v>
      </c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</row>
    <row r="68" spans="1:26" ht="12.5" x14ac:dyDescent="0.25">
      <c r="A68" s="165"/>
      <c r="B68" s="165" t="s">
        <v>43</v>
      </c>
      <c r="C68" s="165">
        <f t="shared" ref="C68:C70" si="10">C29</f>
        <v>720</v>
      </c>
      <c r="D68" s="165">
        <f t="shared" ref="D68:D70" si="11">C10</f>
        <v>800</v>
      </c>
      <c r="E68" s="165">
        <f t="shared" ref="E68:E70" si="12">C48</f>
        <v>880.00000000000011</v>
      </c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</row>
    <row r="69" spans="1:26" ht="12.5" x14ac:dyDescent="0.25">
      <c r="A69" s="165"/>
      <c r="B69" s="165" t="s">
        <v>44</v>
      </c>
      <c r="C69" s="166">
        <f t="shared" si="10"/>
        <v>488.90994762462105</v>
      </c>
      <c r="D69" s="166">
        <f t="shared" si="11"/>
        <v>579.91423583297251</v>
      </c>
      <c r="E69" s="166">
        <f t="shared" si="12"/>
        <v>659.91423583297251</v>
      </c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</row>
    <row r="70" spans="1:26" ht="12.5" x14ac:dyDescent="0.25">
      <c r="A70" s="165"/>
      <c r="B70" s="165" t="s">
        <v>45</v>
      </c>
      <c r="C70" s="166">
        <f t="shared" si="10"/>
        <v>91.409947624621012</v>
      </c>
      <c r="D70" s="166">
        <f t="shared" si="11"/>
        <v>182.41423583297245</v>
      </c>
      <c r="E70" s="166">
        <f t="shared" si="12"/>
        <v>262.41423583297245</v>
      </c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</row>
    <row r="71" spans="1:26" ht="12.5" x14ac:dyDescent="0.25">
      <c r="A71" s="165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</row>
    <row r="72" spans="1:26" ht="12.5" x14ac:dyDescent="0.25">
      <c r="A72" s="165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</row>
    <row r="73" spans="1:26" ht="12.5" x14ac:dyDescent="0.25">
      <c r="A73" s="165"/>
      <c r="B73" s="165"/>
      <c r="C73" s="165" t="s">
        <v>122</v>
      </c>
      <c r="D73" s="165" t="s">
        <v>123</v>
      </c>
      <c r="E73" s="165" t="s">
        <v>124</v>
      </c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</row>
    <row r="74" spans="1:26" ht="12.5" x14ac:dyDescent="0.25">
      <c r="A74" s="165"/>
      <c r="B74" s="165" t="s">
        <v>43</v>
      </c>
      <c r="C74" s="165">
        <f t="shared" ref="C74:C76" si="13">C35</f>
        <v>1080</v>
      </c>
      <c r="D74" s="165">
        <f t="shared" ref="D74:D76" si="14">C16</f>
        <v>1200</v>
      </c>
      <c r="E74" s="165">
        <f t="shared" ref="E74:E76" si="15">C54</f>
        <v>1320</v>
      </c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</row>
    <row r="75" spans="1:26" ht="12.5" x14ac:dyDescent="0.25">
      <c r="A75" s="165"/>
      <c r="B75" s="165" t="s">
        <v>44</v>
      </c>
      <c r="C75" s="166">
        <f t="shared" si="13"/>
        <v>680.90994762462105</v>
      </c>
      <c r="D75" s="166">
        <f t="shared" si="14"/>
        <v>819.91423583297251</v>
      </c>
      <c r="E75" s="166">
        <f t="shared" si="15"/>
        <v>939.91423583297251</v>
      </c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</row>
    <row r="76" spans="1:26" ht="12.5" x14ac:dyDescent="0.25">
      <c r="A76" s="165"/>
      <c r="B76" s="165" t="s">
        <v>45</v>
      </c>
      <c r="C76" s="166">
        <f t="shared" si="13"/>
        <v>283.409947624621</v>
      </c>
      <c r="D76" s="166">
        <f t="shared" si="14"/>
        <v>422.41423583297245</v>
      </c>
      <c r="E76" s="166">
        <f t="shared" si="15"/>
        <v>542.41423583297251</v>
      </c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</row>
    <row r="77" spans="1:26" ht="12.5" x14ac:dyDescent="0.25">
      <c r="A77" s="165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</row>
    <row r="78" spans="1:26" ht="12.5" x14ac:dyDescent="0.25">
      <c r="A78" s="165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</row>
    <row r="79" spans="1:26" ht="12.5" x14ac:dyDescent="0.25">
      <c r="A79" s="167"/>
      <c r="B79" s="167"/>
      <c r="C79" s="167"/>
      <c r="D79" s="167"/>
      <c r="E79" s="167"/>
      <c r="F79" s="167"/>
      <c r="G79" s="167"/>
      <c r="H79" s="167"/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</row>
    <row r="80" spans="1:26" ht="12.5" x14ac:dyDescent="0.25">
      <c r="A80" s="167"/>
      <c r="B80" s="167"/>
      <c r="C80" s="167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</row>
    <row r="81" spans="1:26" ht="12.5" x14ac:dyDescent="0.25">
      <c r="A81" s="167"/>
      <c r="B81" s="167"/>
      <c r="C81" s="167" t="s">
        <v>122</v>
      </c>
      <c r="D81" s="167" t="s">
        <v>123</v>
      </c>
      <c r="E81" s="167" t="s">
        <v>124</v>
      </c>
      <c r="F81" s="167"/>
      <c r="G81" s="167"/>
      <c r="H81" s="167"/>
      <c r="I81" s="167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</row>
    <row r="82" spans="1:26" ht="12.5" x14ac:dyDescent="0.25">
      <c r="A82" s="167"/>
      <c r="B82" s="167" t="s">
        <v>43</v>
      </c>
      <c r="C82" s="168">
        <f t="shared" ref="C82:C84" si="16">D29</f>
        <v>8640</v>
      </c>
      <c r="D82" s="168">
        <f t="shared" ref="D82:D84" si="17">D10</f>
        <v>9600</v>
      </c>
      <c r="E82" s="168">
        <f t="shared" ref="E82:E84" si="18">D48</f>
        <v>10560.000000000002</v>
      </c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</row>
    <row r="83" spans="1:26" ht="12.5" x14ac:dyDescent="0.25">
      <c r="A83" s="167"/>
      <c r="B83" s="167" t="s">
        <v>44</v>
      </c>
      <c r="C83" s="168">
        <f t="shared" si="16"/>
        <v>5866.9193714954527</v>
      </c>
      <c r="D83" s="168">
        <f t="shared" si="17"/>
        <v>6958.9708299956701</v>
      </c>
      <c r="E83" s="168">
        <f t="shared" si="18"/>
        <v>7918.9708299956701</v>
      </c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</row>
    <row r="84" spans="1:26" ht="12.5" x14ac:dyDescent="0.25">
      <c r="A84" s="167"/>
      <c r="B84" s="167" t="s">
        <v>45</v>
      </c>
      <c r="C84" s="168">
        <f t="shared" si="16"/>
        <v>1096.9193714954522</v>
      </c>
      <c r="D84" s="168">
        <f t="shared" si="17"/>
        <v>2188.9708299956692</v>
      </c>
      <c r="E84" s="168">
        <f t="shared" si="18"/>
        <v>3148.9708299956692</v>
      </c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</row>
    <row r="85" spans="1:26" ht="12.5" x14ac:dyDescent="0.25">
      <c r="A85" s="167"/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</row>
    <row r="86" spans="1:26" ht="12.5" x14ac:dyDescent="0.25">
      <c r="A86" s="167"/>
      <c r="B86" s="167"/>
      <c r="C86" s="167"/>
      <c r="D86" s="167"/>
      <c r="E86" s="167"/>
      <c r="F86" s="167"/>
      <c r="G86" s="167" t="s">
        <v>125</v>
      </c>
      <c r="H86" s="168" t="str">
        <f>VIVIENDA!B47</f>
        <v>Tradicional</v>
      </c>
      <c r="I86" s="168" t="str">
        <f>VIVIENDA!C47</f>
        <v>Habitaciones</v>
      </c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</row>
    <row r="87" spans="1:26" ht="12.5" x14ac:dyDescent="0.25">
      <c r="A87" s="167"/>
      <c r="B87" s="167"/>
      <c r="C87" s="167" t="s">
        <v>122</v>
      </c>
      <c r="D87" s="167" t="s">
        <v>123</v>
      </c>
      <c r="E87" s="167" t="s">
        <v>124</v>
      </c>
      <c r="F87" s="167"/>
      <c r="G87" s="167" t="str">
        <f>VIVIENDA!A48</f>
        <v>Rentabilidad BRUTA</v>
      </c>
      <c r="H87" s="169">
        <f>D10/(VIVIENDA!$C$8+VIVIENDA!$C$16)</f>
        <v>6.6481994459833799E-2</v>
      </c>
      <c r="I87" s="169">
        <f>D16/(VIVIENDA!$C$8+VIVIENDA!$C$16)</f>
        <v>9.9722991689750698E-2</v>
      </c>
      <c r="J87" s="167"/>
      <c r="K87" s="167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</row>
    <row r="88" spans="1:26" ht="12.5" x14ac:dyDescent="0.25">
      <c r="A88" s="167"/>
      <c r="B88" s="167" t="s">
        <v>43</v>
      </c>
      <c r="C88" s="168">
        <f t="shared" ref="C88:C90" si="19">D35</f>
        <v>12960</v>
      </c>
      <c r="D88" s="168">
        <f t="shared" ref="D88:D90" si="20">D16</f>
        <v>14400</v>
      </c>
      <c r="E88" s="168">
        <f t="shared" ref="E88:E90" si="21">D54</f>
        <v>15840</v>
      </c>
      <c r="F88" s="167"/>
      <c r="G88" s="167" t="str">
        <f>VIVIENDA!A49</f>
        <v>Rentabilidad anual NETA</v>
      </c>
      <c r="H88" s="169">
        <f>D11/(VIVIENDA!$C$8+VIVIENDA!$C$16)</f>
        <v>4.8192318767283034E-2</v>
      </c>
      <c r="I88" s="169">
        <f>D17/(VIVIENDA!$C$8+VIVIENDA!$C$16)</f>
        <v>6.8136917105233161E-2</v>
      </c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</row>
    <row r="89" spans="1:26" ht="12.5" x14ac:dyDescent="0.25">
      <c r="A89" s="167"/>
      <c r="B89" s="167" t="s">
        <v>44</v>
      </c>
      <c r="C89" s="168">
        <f t="shared" si="19"/>
        <v>8170.9193714954527</v>
      </c>
      <c r="D89" s="168">
        <f t="shared" si="20"/>
        <v>9838.9708299956692</v>
      </c>
      <c r="E89" s="168">
        <f t="shared" si="21"/>
        <v>11278.970829995669</v>
      </c>
      <c r="F89" s="167"/>
      <c r="G89" s="167" t="str">
        <f>VIVIENDA!A50</f>
        <v>ROCE (return on capital employed)</v>
      </c>
      <c r="H89" s="169">
        <f>D11/(VIVIENDA!$C$11+VIVIENDA!$C$16)</f>
        <v>0.14201981285705448</v>
      </c>
      <c r="I89" s="169">
        <f>D17/(VIVIENDA!$C$11+VIVIENDA!$C$16)</f>
        <v>0.20079532306113609</v>
      </c>
      <c r="J89" s="167"/>
      <c r="K89" s="167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</row>
    <row r="90" spans="1:26" ht="12.5" x14ac:dyDescent="0.25">
      <c r="A90" s="167"/>
      <c r="B90" s="167" t="s">
        <v>45</v>
      </c>
      <c r="C90" s="168">
        <f t="shared" si="19"/>
        <v>3400.9193714954517</v>
      </c>
      <c r="D90" s="168">
        <f t="shared" si="20"/>
        <v>5068.9708299956692</v>
      </c>
      <c r="E90" s="168">
        <f t="shared" si="21"/>
        <v>6508.9708299956701</v>
      </c>
      <c r="F90" s="167"/>
      <c r="G90" s="167" t="str">
        <f>VIVIENDA!A51</f>
        <v>CASH ON CASH</v>
      </c>
      <c r="H90" s="169">
        <f>D12/(VIVIENDA!$C$11+VIVIENDA!$C$16)</f>
        <v>4.4672874081544273E-2</v>
      </c>
      <c r="I90" s="169">
        <f>D18/(VIVIENDA!$C$11+VIVIENDA!$C$16)</f>
        <v>0.1034483842856259</v>
      </c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</row>
    <row r="91" spans="1:26" ht="12.5" x14ac:dyDescent="0.25">
      <c r="A91" s="167"/>
      <c r="B91" s="167"/>
      <c r="C91" s="167"/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</row>
    <row r="92" spans="1:26" ht="12.5" x14ac:dyDescent="0.25">
      <c r="A92" s="167"/>
      <c r="B92" s="167"/>
      <c r="C92" s="167"/>
      <c r="D92" s="167"/>
      <c r="E92" s="167"/>
      <c r="F92" s="167"/>
      <c r="G92" s="167" t="s">
        <v>126</v>
      </c>
      <c r="H92" s="168" t="s">
        <v>56</v>
      </c>
      <c r="I92" s="168" t="s">
        <v>57</v>
      </c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</row>
    <row r="93" spans="1:26" ht="12.5" x14ac:dyDescent="0.25">
      <c r="A93" s="167"/>
      <c r="B93" s="167"/>
      <c r="C93" s="167"/>
      <c r="D93" s="167"/>
      <c r="E93" s="167"/>
      <c r="F93" s="167"/>
      <c r="G93" s="167" t="s">
        <v>59</v>
      </c>
      <c r="H93" s="169">
        <f>D29/(VIVIENDA!$C$8+VIVIENDA!$C$16)</f>
        <v>5.9833795013850416E-2</v>
      </c>
      <c r="I93" s="169">
        <f>D35/(VIVIENDA!$C$8+VIVIENDA!$C$16)</f>
        <v>8.9750692520775624E-2</v>
      </c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</row>
    <row r="94" spans="1:26" ht="12.5" x14ac:dyDescent="0.25">
      <c r="A94" s="167"/>
      <c r="B94" s="167"/>
      <c r="C94" s="167"/>
      <c r="D94" s="167"/>
      <c r="E94" s="167"/>
      <c r="F94" s="167"/>
      <c r="G94" s="167" t="s">
        <v>61</v>
      </c>
      <c r="H94" s="169">
        <f>D30/(VIVIENDA!$C$8+VIVIENDA!$C$16)</f>
        <v>4.0629635536672107E-2</v>
      </c>
      <c r="I94" s="169">
        <f>D36/(VIVIENDA!$C$8+VIVIENDA!$C$16)</f>
        <v>5.6585314207032222E-2</v>
      </c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</row>
    <row r="95" spans="1:26" ht="12.5" x14ac:dyDescent="0.25">
      <c r="A95" s="167"/>
      <c r="B95" s="167"/>
      <c r="C95" s="167"/>
      <c r="D95" s="167"/>
      <c r="E95" s="167"/>
      <c r="F95" s="167"/>
      <c r="G95" s="167" t="s">
        <v>63</v>
      </c>
      <c r="H95" s="169">
        <f>D30/(VIVIENDA!$C$11+VIVIENDA!$C$16)</f>
        <v>0.11973304839786639</v>
      </c>
      <c r="I95" s="169">
        <f>D36/(VIVIENDA!$C$11+VIVIENDA!$C$16)</f>
        <v>0.16675345656113169</v>
      </c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</row>
    <row r="96" spans="1:26" ht="12.5" x14ac:dyDescent="0.25">
      <c r="A96" s="167"/>
      <c r="B96" s="167"/>
      <c r="C96" s="167"/>
      <c r="D96" s="167"/>
      <c r="E96" s="167"/>
      <c r="F96" s="167"/>
      <c r="G96" s="167" t="s">
        <v>65</v>
      </c>
      <c r="H96" s="169">
        <f>D31/(VIVIENDA!$C$11+VIVIENDA!$C$16)</f>
        <v>2.2386109622356168E-2</v>
      </c>
      <c r="I96" s="169">
        <f>D37/(VIVIENDA!$C$11+VIVIENDA!$C$16)</f>
        <v>6.9406517785621458E-2</v>
      </c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</row>
    <row r="97" spans="1:26" ht="12.5" x14ac:dyDescent="0.25">
      <c r="A97" s="167"/>
      <c r="B97" s="167"/>
      <c r="C97" s="167"/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</row>
    <row r="98" spans="1:26" ht="12.5" x14ac:dyDescent="0.25">
      <c r="A98" s="167"/>
      <c r="B98" s="167"/>
      <c r="C98" s="167"/>
      <c r="D98" s="167"/>
      <c r="E98" s="167"/>
      <c r="F98" s="167"/>
      <c r="G98" s="167" t="s">
        <v>127</v>
      </c>
      <c r="H98" s="168" t="s">
        <v>56</v>
      </c>
      <c r="I98" s="168" t="s">
        <v>57</v>
      </c>
      <c r="J98" s="167"/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</row>
    <row r="99" spans="1:26" ht="12.5" x14ac:dyDescent="0.25">
      <c r="A99" s="167"/>
      <c r="B99" s="167"/>
      <c r="C99" s="167"/>
      <c r="D99" s="167"/>
      <c r="E99" s="167"/>
      <c r="F99" s="167"/>
      <c r="G99" s="167" t="s">
        <v>59</v>
      </c>
      <c r="H99" s="169">
        <f>D48/(VIVIENDA!$C$8+VIVIENDA!$C$16)</f>
        <v>7.3130193905817181E-2</v>
      </c>
      <c r="I99" s="169">
        <f>D54/(VIVIENDA!$C$8+VIVIENDA!$C$16)</f>
        <v>0.10969529085872576</v>
      </c>
      <c r="J99" s="167"/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</row>
    <row r="100" spans="1:26" ht="12.5" x14ac:dyDescent="0.25">
      <c r="A100" s="167"/>
      <c r="B100" s="167"/>
      <c r="C100" s="167"/>
      <c r="D100" s="167"/>
      <c r="E100" s="167"/>
      <c r="F100" s="167"/>
      <c r="G100" s="167" t="s">
        <v>61</v>
      </c>
      <c r="H100" s="169">
        <f>D49/(VIVIENDA!$C$8+VIVIENDA!$C$16)</f>
        <v>5.4840518213266416E-2</v>
      </c>
      <c r="I100" s="169">
        <f>D55/(VIVIENDA!$C$8+VIVIENDA!$C$16)</f>
        <v>7.8109216274208235E-2</v>
      </c>
      <c r="J100" s="167"/>
      <c r="K100" s="167"/>
      <c r="L100" s="167"/>
      <c r="M100" s="167"/>
      <c r="N100" s="167"/>
      <c r="O100" s="167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</row>
    <row r="101" spans="1:26" ht="12.5" x14ac:dyDescent="0.25">
      <c r="A101" s="167"/>
      <c r="B101" s="167"/>
      <c r="C101" s="167"/>
      <c r="D101" s="167"/>
      <c r="E101" s="167"/>
      <c r="F101" s="167"/>
      <c r="G101" s="167" t="s">
        <v>63</v>
      </c>
      <c r="H101" s="169">
        <f>D49/(VIVIENDA!$C$11+VIVIENDA!$C$16)</f>
        <v>0.16161164959174837</v>
      </c>
      <c r="I101" s="169">
        <f>D55/(VIVIENDA!$C$11+VIVIENDA!$C$16)</f>
        <v>0.23018307816317693</v>
      </c>
      <c r="J101" s="167"/>
      <c r="K101" s="167"/>
      <c r="L101" s="167"/>
      <c r="M101" s="167"/>
      <c r="N101" s="167"/>
      <c r="O101" s="167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</row>
    <row r="102" spans="1:26" ht="12.5" x14ac:dyDescent="0.25">
      <c r="A102" s="167"/>
      <c r="B102" s="167"/>
      <c r="C102" s="167"/>
      <c r="D102" s="167"/>
      <c r="E102" s="167"/>
      <c r="F102" s="167"/>
      <c r="G102" s="167" t="s">
        <v>65</v>
      </c>
      <c r="H102" s="169">
        <f>D50/(VIVIENDA!$C$11+VIVIENDA!$C$16)</f>
        <v>6.4264710816238149E-2</v>
      </c>
      <c r="I102" s="169">
        <f>D56/(VIVIENDA!$C$11+VIVIENDA!$C$16)</f>
        <v>0.13283613938766672</v>
      </c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</row>
    <row r="103" spans="1:26" ht="12.5" x14ac:dyDescent="0.25">
      <c r="A103" s="167"/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33"/>
  <sheetViews>
    <sheetView workbookViewId="0">
      <selection activeCell="D5" sqref="D5"/>
    </sheetView>
  </sheetViews>
  <sheetFormatPr defaultColWidth="12.6328125" defaultRowHeight="15" customHeight="1" x14ac:dyDescent="0.25"/>
  <cols>
    <col min="1" max="1" width="33" customWidth="1"/>
    <col min="2" max="2" width="27.90625" customWidth="1"/>
    <col min="4" max="4" width="27.453125" customWidth="1"/>
    <col min="6" max="6" width="34.453125" customWidth="1"/>
  </cols>
  <sheetData>
    <row r="1" spans="1:6" ht="15" customHeight="1" x14ac:dyDescent="0.25">
      <c r="A1" s="170" t="s">
        <v>128</v>
      </c>
      <c r="D1" s="171" t="s">
        <v>129</v>
      </c>
    </row>
    <row r="2" spans="1:6" ht="15" customHeight="1" x14ac:dyDescent="0.25">
      <c r="A2" s="94">
        <v>125000</v>
      </c>
      <c r="D2" s="172">
        <f>VIVIENDA!C100</f>
        <v>211.98996508308068</v>
      </c>
    </row>
    <row r="4" spans="1:6" ht="13" x14ac:dyDescent="0.3">
      <c r="A4" s="170" t="s">
        <v>130</v>
      </c>
      <c r="D4" s="171" t="s">
        <v>131</v>
      </c>
      <c r="F4" s="173" t="s">
        <v>132</v>
      </c>
    </row>
    <row r="5" spans="1:6" ht="15" customHeight="1" x14ac:dyDescent="0.25">
      <c r="A5" s="174">
        <v>0.02</v>
      </c>
      <c r="D5" s="174">
        <v>0.02</v>
      </c>
      <c r="F5" s="174">
        <v>0.06</v>
      </c>
    </row>
    <row r="8" spans="1:6" ht="13" x14ac:dyDescent="0.3">
      <c r="A8" s="184" t="s">
        <v>133</v>
      </c>
      <c r="B8" s="184" t="s">
        <v>134</v>
      </c>
      <c r="D8" s="185" t="s">
        <v>135</v>
      </c>
      <c r="F8" s="186" t="s">
        <v>136</v>
      </c>
    </row>
    <row r="9" spans="1:6" ht="15" customHeight="1" x14ac:dyDescent="0.25">
      <c r="A9" s="182">
        <v>1</v>
      </c>
      <c r="B9" s="183">
        <f>A2</f>
        <v>125000</v>
      </c>
      <c r="D9" s="183">
        <f>D2*12</f>
        <v>2543.8795809969679</v>
      </c>
      <c r="F9" s="183">
        <f>D9*(1+$F$5)</f>
        <v>2696.5123558567861</v>
      </c>
    </row>
    <row r="10" spans="1:6" ht="15" customHeight="1" x14ac:dyDescent="0.25">
      <c r="A10" s="182">
        <v>2</v>
      </c>
      <c r="B10" s="183">
        <f t="shared" ref="B10:B33" si="0">B9*(1+$A$5)</f>
        <v>127500</v>
      </c>
      <c r="D10" s="183">
        <f t="shared" ref="D10:D33" si="1">D9*(1+$D$5)</f>
        <v>2594.7571726169072</v>
      </c>
      <c r="F10" s="183">
        <f t="shared" ref="F10:F33" si="2">(F9+D10)*(1+$F$5)</f>
        <v>5608.7457001821149</v>
      </c>
    </row>
    <row r="11" spans="1:6" ht="15" customHeight="1" x14ac:dyDescent="0.25">
      <c r="A11" s="182">
        <v>3</v>
      </c>
      <c r="B11" s="183">
        <f t="shared" si="0"/>
        <v>130050</v>
      </c>
      <c r="D11" s="183">
        <f t="shared" si="1"/>
        <v>2646.6523160692454</v>
      </c>
      <c r="F11" s="183">
        <f t="shared" si="2"/>
        <v>8750.7218972264418</v>
      </c>
    </row>
    <row r="12" spans="1:6" ht="15" customHeight="1" x14ac:dyDescent="0.25">
      <c r="A12" s="182">
        <v>4</v>
      </c>
      <c r="B12" s="183">
        <f t="shared" si="0"/>
        <v>132651</v>
      </c>
      <c r="D12" s="183">
        <f t="shared" si="1"/>
        <v>2699.5853623906305</v>
      </c>
      <c r="F12" s="183">
        <f t="shared" si="2"/>
        <v>12137.325695194097</v>
      </c>
    </row>
    <row r="13" spans="1:6" ht="15" customHeight="1" x14ac:dyDescent="0.25">
      <c r="A13" s="182">
        <v>5</v>
      </c>
      <c r="B13" s="183">
        <f t="shared" si="0"/>
        <v>135304.01999999999</v>
      </c>
      <c r="D13" s="183">
        <f t="shared" si="1"/>
        <v>2753.5770696384434</v>
      </c>
      <c r="F13" s="183">
        <f t="shared" si="2"/>
        <v>15784.356930722492</v>
      </c>
    </row>
    <row r="14" spans="1:6" ht="15" customHeight="1" x14ac:dyDescent="0.25">
      <c r="A14" s="182">
        <v>6</v>
      </c>
      <c r="B14" s="183">
        <f t="shared" si="0"/>
        <v>138010.1004</v>
      </c>
      <c r="D14" s="183">
        <f t="shared" si="1"/>
        <v>2808.6486110312121</v>
      </c>
      <c r="F14" s="183">
        <f t="shared" si="2"/>
        <v>19708.585874258926</v>
      </c>
    </row>
    <row r="15" spans="1:6" ht="15" customHeight="1" x14ac:dyDescent="0.25">
      <c r="A15" s="182">
        <v>7</v>
      </c>
      <c r="B15" s="183">
        <f t="shared" si="0"/>
        <v>140770.30240799999</v>
      </c>
      <c r="D15" s="183">
        <f t="shared" si="1"/>
        <v>2864.8215832518363</v>
      </c>
      <c r="F15" s="183">
        <f t="shared" si="2"/>
        <v>23927.811904961411</v>
      </c>
    </row>
    <row r="16" spans="1:6" ht="15" customHeight="1" x14ac:dyDescent="0.25">
      <c r="A16" s="182">
        <v>8</v>
      </c>
      <c r="B16" s="183">
        <f t="shared" si="0"/>
        <v>143585.70845615998</v>
      </c>
      <c r="D16" s="183">
        <f t="shared" si="1"/>
        <v>2922.1180149168731</v>
      </c>
      <c r="F16" s="183">
        <f t="shared" si="2"/>
        <v>28460.925715070982</v>
      </c>
    </row>
    <row r="17" spans="1:6" ht="15" customHeight="1" x14ac:dyDescent="0.25">
      <c r="A17" s="182">
        <v>9</v>
      </c>
      <c r="B17" s="183">
        <f t="shared" si="0"/>
        <v>146457.42262528319</v>
      </c>
      <c r="D17" s="183">
        <f t="shared" si="1"/>
        <v>2980.5603752152106</v>
      </c>
      <c r="F17" s="183">
        <f t="shared" si="2"/>
        <v>33327.975255703364</v>
      </c>
    </row>
    <row r="18" spans="1:6" ht="15" customHeight="1" x14ac:dyDescent="0.25">
      <c r="A18" s="182">
        <v>10</v>
      </c>
      <c r="B18" s="183">
        <f t="shared" si="0"/>
        <v>149386.57107778886</v>
      </c>
      <c r="D18" s="183">
        <f t="shared" si="1"/>
        <v>3040.1715827195148</v>
      </c>
      <c r="F18" s="183">
        <f t="shared" si="2"/>
        <v>38550.235648728252</v>
      </c>
    </row>
    <row r="19" spans="1:6" ht="15" customHeight="1" x14ac:dyDescent="0.25">
      <c r="A19" s="182">
        <v>11</v>
      </c>
      <c r="B19" s="183">
        <f t="shared" si="0"/>
        <v>152374.30249934463</v>
      </c>
      <c r="D19" s="183">
        <f t="shared" si="1"/>
        <v>3100.9750143739052</v>
      </c>
      <c r="F19" s="183">
        <f t="shared" si="2"/>
        <v>44150.283302888289</v>
      </c>
    </row>
    <row r="20" spans="1:6" ht="15" customHeight="1" x14ac:dyDescent="0.25">
      <c r="A20" s="182">
        <v>12</v>
      </c>
      <c r="B20" s="183">
        <f t="shared" si="0"/>
        <v>155421.78854933151</v>
      </c>
      <c r="D20" s="183">
        <f t="shared" si="1"/>
        <v>3162.9945146613832</v>
      </c>
      <c r="F20" s="183">
        <f t="shared" si="2"/>
        <v>50152.074486602651</v>
      </c>
    </row>
    <row r="21" spans="1:6" ht="15" customHeight="1" x14ac:dyDescent="0.25">
      <c r="A21" s="182">
        <v>13</v>
      </c>
      <c r="B21" s="183">
        <f t="shared" si="0"/>
        <v>158530.22432031814</v>
      </c>
      <c r="D21" s="183">
        <f t="shared" si="1"/>
        <v>3226.2544049546109</v>
      </c>
      <c r="F21" s="183">
        <f t="shared" si="2"/>
        <v>56581.028625050705</v>
      </c>
    </row>
    <row r="22" spans="1:6" ht="15" customHeight="1" x14ac:dyDescent="0.25">
      <c r="A22" s="182">
        <v>14</v>
      </c>
      <c r="B22" s="183">
        <f t="shared" si="0"/>
        <v>161700.82880672452</v>
      </c>
      <c r="D22" s="183">
        <f t="shared" si="1"/>
        <v>3290.7794930537034</v>
      </c>
      <c r="F22" s="183">
        <f t="shared" si="2"/>
        <v>63464.116605190677</v>
      </c>
    </row>
    <row r="23" spans="1:6" ht="15" customHeight="1" x14ac:dyDescent="0.25">
      <c r="A23" s="182">
        <v>15</v>
      </c>
      <c r="B23" s="183">
        <f t="shared" si="0"/>
        <v>164934.845382859</v>
      </c>
      <c r="D23" s="183">
        <f t="shared" si="1"/>
        <v>3356.5950829147773</v>
      </c>
      <c r="F23" s="183">
        <f t="shared" si="2"/>
        <v>70829.954389391787</v>
      </c>
    </row>
    <row r="24" spans="1:6" ht="15" customHeight="1" x14ac:dyDescent="0.25">
      <c r="A24" s="182">
        <v>16</v>
      </c>
      <c r="B24" s="183">
        <f t="shared" si="0"/>
        <v>168233.54229051617</v>
      </c>
      <c r="D24" s="183">
        <f t="shared" si="1"/>
        <v>3423.726984573073</v>
      </c>
      <c r="F24" s="183">
        <f t="shared" si="2"/>
        <v>78708.902256402755</v>
      </c>
    </row>
    <row r="25" spans="1:6" ht="15" customHeight="1" x14ac:dyDescent="0.25">
      <c r="A25" s="182">
        <v>17</v>
      </c>
      <c r="B25" s="183">
        <f t="shared" si="0"/>
        <v>171598.21313632649</v>
      </c>
      <c r="D25" s="183">
        <f t="shared" si="1"/>
        <v>3492.2015242645343</v>
      </c>
      <c r="F25" s="183">
        <f t="shared" si="2"/>
        <v>87133.170007507331</v>
      </c>
    </row>
    <row r="26" spans="1:6" ht="15" customHeight="1" x14ac:dyDescent="0.25">
      <c r="A26" s="182">
        <v>18</v>
      </c>
      <c r="B26" s="183">
        <f t="shared" si="0"/>
        <v>175030.17739905303</v>
      </c>
      <c r="D26" s="183">
        <f t="shared" si="1"/>
        <v>3562.045554749825</v>
      </c>
      <c r="F26" s="183">
        <f t="shared" si="2"/>
        <v>96136.928495992586</v>
      </c>
    </row>
    <row r="27" spans="1:6" ht="15" customHeight="1" x14ac:dyDescent="0.25">
      <c r="A27" s="182">
        <v>19</v>
      </c>
      <c r="B27" s="183">
        <f t="shared" si="0"/>
        <v>178530.7809470341</v>
      </c>
      <c r="D27" s="183">
        <f t="shared" si="1"/>
        <v>3633.2864658448216</v>
      </c>
      <c r="F27" s="183">
        <f t="shared" si="2"/>
        <v>105756.42785954766</v>
      </c>
    </row>
    <row r="28" spans="1:6" ht="15" customHeight="1" x14ac:dyDescent="0.25">
      <c r="A28" s="182">
        <v>20</v>
      </c>
      <c r="B28" s="183">
        <f t="shared" si="0"/>
        <v>182101.39656597478</v>
      </c>
      <c r="D28" s="183">
        <f t="shared" si="1"/>
        <v>3705.952195161718</v>
      </c>
      <c r="F28" s="183">
        <f t="shared" si="2"/>
        <v>116030.12285799196</v>
      </c>
    </row>
    <row r="29" spans="1:6" ht="15" customHeight="1" x14ac:dyDescent="0.25">
      <c r="A29" s="182">
        <v>21</v>
      </c>
      <c r="B29" s="183">
        <f t="shared" si="0"/>
        <v>185743.42449729427</v>
      </c>
      <c r="D29" s="183">
        <f t="shared" si="1"/>
        <v>3780.0712390649524</v>
      </c>
      <c r="F29" s="183">
        <f t="shared" si="2"/>
        <v>126998.80574288033</v>
      </c>
    </row>
    <row r="30" spans="1:6" ht="15" customHeight="1" x14ac:dyDescent="0.25">
      <c r="A30" s="182">
        <v>22</v>
      </c>
      <c r="B30" s="183">
        <f t="shared" si="0"/>
        <v>189458.29298724016</v>
      </c>
      <c r="D30" s="183">
        <f t="shared" si="1"/>
        <v>3855.6726638462515</v>
      </c>
      <c r="F30" s="183">
        <f t="shared" si="2"/>
        <v>138705.74711113019</v>
      </c>
    </row>
    <row r="31" spans="1:6" ht="15" customHeight="1" x14ac:dyDescent="0.25">
      <c r="A31" s="182">
        <v>23</v>
      </c>
      <c r="B31" s="183">
        <f t="shared" si="0"/>
        <v>193247.45884698496</v>
      </c>
      <c r="D31" s="183">
        <f t="shared" si="1"/>
        <v>3932.7861171231766</v>
      </c>
      <c r="F31" s="183">
        <f t="shared" si="2"/>
        <v>151196.84522194858</v>
      </c>
    </row>
    <row r="32" spans="1:6" ht="15" customHeight="1" x14ac:dyDescent="0.25">
      <c r="A32" s="182">
        <v>24</v>
      </c>
      <c r="B32" s="183">
        <f t="shared" si="0"/>
        <v>197112.40802392465</v>
      </c>
      <c r="D32" s="183">
        <f t="shared" si="1"/>
        <v>4011.44183946564</v>
      </c>
      <c r="F32" s="183">
        <f t="shared" si="2"/>
        <v>164520.78428509907</v>
      </c>
    </row>
    <row r="33" spans="1:6" ht="15" customHeight="1" x14ac:dyDescent="0.25">
      <c r="A33" s="182">
        <v>25</v>
      </c>
      <c r="B33" s="183">
        <f t="shared" si="0"/>
        <v>201054.65618440314</v>
      </c>
      <c r="D33" s="183">
        <f t="shared" si="1"/>
        <v>4091.6706762549529</v>
      </c>
      <c r="F33" s="183">
        <f t="shared" si="2"/>
        <v>178729.20225903529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D1000"/>
  <sheetViews>
    <sheetView workbookViewId="0"/>
  </sheetViews>
  <sheetFormatPr defaultColWidth="12.6328125" defaultRowHeight="15" customHeight="1" x14ac:dyDescent="0.25"/>
  <cols>
    <col min="1" max="26" width="12.453125" customWidth="1"/>
  </cols>
  <sheetData>
    <row r="1" spans="1:4" ht="15.75" customHeight="1" x14ac:dyDescent="0.25">
      <c r="A1" s="175" t="s">
        <v>137</v>
      </c>
      <c r="B1" s="79" t="s">
        <v>138</v>
      </c>
    </row>
    <row r="2" spans="1:4" ht="15.75" customHeight="1" x14ac:dyDescent="0.25">
      <c r="A2" s="175">
        <v>1E-3</v>
      </c>
      <c r="B2" s="176">
        <v>1</v>
      </c>
    </row>
    <row r="3" spans="1:4" ht="15.75" customHeight="1" x14ac:dyDescent="0.25">
      <c r="A3" s="175">
        <v>2E-3</v>
      </c>
      <c r="B3" s="176">
        <v>2</v>
      </c>
    </row>
    <row r="4" spans="1:4" ht="15.75" customHeight="1" x14ac:dyDescent="0.25">
      <c r="A4" s="175">
        <v>3.0000000000000001E-3</v>
      </c>
      <c r="B4" s="176">
        <v>3</v>
      </c>
      <c r="D4" s="177"/>
    </row>
    <row r="5" spans="1:4" ht="15.75" customHeight="1" x14ac:dyDescent="0.25">
      <c r="A5" s="175">
        <v>4.0000000000000001E-3</v>
      </c>
      <c r="B5" s="176">
        <v>4</v>
      </c>
    </row>
    <row r="6" spans="1:4" ht="15.75" customHeight="1" x14ac:dyDescent="0.25">
      <c r="A6" s="175">
        <v>5.0000000000000001E-3</v>
      </c>
      <c r="B6" s="176">
        <v>5</v>
      </c>
    </row>
    <row r="7" spans="1:4" ht="15.75" customHeight="1" x14ac:dyDescent="0.25">
      <c r="A7" s="175">
        <v>6.0000000000000001E-3</v>
      </c>
      <c r="B7" s="176">
        <v>6</v>
      </c>
    </row>
    <row r="8" spans="1:4" ht="15.75" customHeight="1" x14ac:dyDescent="0.25">
      <c r="A8" s="175">
        <v>7.0000000000000001E-3</v>
      </c>
      <c r="B8" s="176">
        <v>7</v>
      </c>
    </row>
    <row r="9" spans="1:4" ht="15.75" customHeight="1" x14ac:dyDescent="0.25">
      <c r="A9" s="175">
        <v>8.0000000000000002E-3</v>
      </c>
      <c r="B9" s="176">
        <v>8</v>
      </c>
    </row>
    <row r="10" spans="1:4" ht="15.75" customHeight="1" x14ac:dyDescent="0.25">
      <c r="A10" s="175">
        <v>8.9999999999999993E-3</v>
      </c>
      <c r="B10" s="176">
        <v>9</v>
      </c>
    </row>
    <row r="11" spans="1:4" ht="15.75" customHeight="1" x14ac:dyDescent="0.25">
      <c r="A11" s="175">
        <v>0.01</v>
      </c>
      <c r="B11" s="176">
        <v>10</v>
      </c>
    </row>
    <row r="12" spans="1:4" ht="15.75" customHeight="1" x14ac:dyDescent="0.25">
      <c r="A12" s="175">
        <v>1.0999999999999999E-2</v>
      </c>
      <c r="B12" s="176">
        <v>11</v>
      </c>
    </row>
    <row r="13" spans="1:4" ht="15.75" customHeight="1" x14ac:dyDescent="0.25">
      <c r="A13" s="175">
        <v>1.2E-2</v>
      </c>
      <c r="B13" s="176">
        <v>12</v>
      </c>
    </row>
    <row r="14" spans="1:4" ht="15.75" customHeight="1" x14ac:dyDescent="0.25">
      <c r="A14" s="175">
        <v>1.2999999999999999E-2</v>
      </c>
      <c r="B14" s="176">
        <v>13</v>
      </c>
    </row>
    <row r="15" spans="1:4" ht="15.75" customHeight="1" x14ac:dyDescent="0.25">
      <c r="A15" s="175">
        <v>1.4E-2</v>
      </c>
      <c r="B15" s="176">
        <v>14</v>
      </c>
    </row>
    <row r="16" spans="1:4" ht="15.75" customHeight="1" x14ac:dyDescent="0.25">
      <c r="A16" s="175">
        <v>1.4999999999999999E-2</v>
      </c>
      <c r="B16" s="176">
        <v>15</v>
      </c>
    </row>
    <row r="17" spans="1:2" ht="15.75" customHeight="1" x14ac:dyDescent="0.25">
      <c r="A17" s="175">
        <v>1.6E-2</v>
      </c>
      <c r="B17" s="176">
        <v>16</v>
      </c>
    </row>
    <row r="18" spans="1:2" ht="15.75" customHeight="1" x14ac:dyDescent="0.25">
      <c r="A18" s="175">
        <v>1.7000000000000001E-2</v>
      </c>
      <c r="B18" s="176">
        <v>17</v>
      </c>
    </row>
    <row r="19" spans="1:2" ht="15.75" customHeight="1" x14ac:dyDescent="0.25">
      <c r="A19" s="175">
        <v>1.7999999999999999E-2</v>
      </c>
      <c r="B19" s="176">
        <v>18</v>
      </c>
    </row>
    <row r="20" spans="1:2" ht="15.75" customHeight="1" x14ac:dyDescent="0.25">
      <c r="A20" s="175">
        <v>1.9E-2</v>
      </c>
      <c r="B20" s="176">
        <v>19</v>
      </c>
    </row>
    <row r="21" spans="1:2" ht="15.75" customHeight="1" x14ac:dyDescent="0.25">
      <c r="A21" s="175">
        <v>0.02</v>
      </c>
      <c r="B21" s="176">
        <v>20</v>
      </c>
    </row>
    <row r="22" spans="1:2" ht="15.75" customHeight="1" x14ac:dyDescent="0.25">
      <c r="A22" s="175">
        <v>2.1000000000000001E-2</v>
      </c>
      <c r="B22" s="176">
        <v>21</v>
      </c>
    </row>
    <row r="23" spans="1:2" ht="15.75" customHeight="1" x14ac:dyDescent="0.25">
      <c r="A23" s="175">
        <v>2.1999999999999999E-2</v>
      </c>
      <c r="B23" s="176">
        <v>22</v>
      </c>
    </row>
    <row r="24" spans="1:2" ht="15.75" customHeight="1" x14ac:dyDescent="0.25">
      <c r="A24" s="175">
        <v>2.3E-2</v>
      </c>
      <c r="B24" s="176">
        <v>23</v>
      </c>
    </row>
    <row r="25" spans="1:2" ht="15.75" customHeight="1" x14ac:dyDescent="0.25">
      <c r="A25" s="175">
        <v>2.4E-2</v>
      </c>
      <c r="B25" s="176">
        <v>24</v>
      </c>
    </row>
    <row r="26" spans="1:2" ht="15.75" customHeight="1" x14ac:dyDescent="0.25">
      <c r="A26" s="175">
        <v>2.5000000000000001E-2</v>
      </c>
      <c r="B26" s="176">
        <v>25</v>
      </c>
    </row>
    <row r="27" spans="1:2" ht="15.75" customHeight="1" x14ac:dyDescent="0.25">
      <c r="A27" s="175">
        <v>2.5999999999999999E-2</v>
      </c>
      <c r="B27" s="176">
        <v>26</v>
      </c>
    </row>
    <row r="28" spans="1:2" ht="15.75" customHeight="1" x14ac:dyDescent="0.25">
      <c r="A28" s="175">
        <v>2.7E-2</v>
      </c>
      <c r="B28" s="176">
        <v>27</v>
      </c>
    </row>
    <row r="29" spans="1:2" ht="15.75" customHeight="1" x14ac:dyDescent="0.25">
      <c r="A29" s="175">
        <v>2.8000000000000001E-2</v>
      </c>
      <c r="B29" s="176">
        <v>28</v>
      </c>
    </row>
    <row r="30" spans="1:2" ht="15.75" customHeight="1" x14ac:dyDescent="0.25">
      <c r="A30" s="175">
        <v>2.9000000000000001E-2</v>
      </c>
      <c r="B30" s="176">
        <v>29</v>
      </c>
    </row>
    <row r="31" spans="1:2" ht="15.75" customHeight="1" x14ac:dyDescent="0.25">
      <c r="A31" s="175">
        <v>0.03</v>
      </c>
      <c r="B31" s="176">
        <v>30</v>
      </c>
    </row>
    <row r="32" spans="1:2" ht="15.75" customHeight="1" x14ac:dyDescent="0.25">
      <c r="A32" s="175">
        <v>3.1E-2</v>
      </c>
      <c r="B32" s="176">
        <v>31</v>
      </c>
    </row>
    <row r="33" spans="1:2" ht="15.75" customHeight="1" x14ac:dyDescent="0.25">
      <c r="A33" s="175">
        <v>3.2000000000000001E-2</v>
      </c>
      <c r="B33" s="176">
        <v>32</v>
      </c>
    </row>
    <row r="34" spans="1:2" ht="15.75" customHeight="1" x14ac:dyDescent="0.25">
      <c r="A34" s="175">
        <v>3.3000000000000002E-2</v>
      </c>
      <c r="B34" s="176">
        <v>33</v>
      </c>
    </row>
    <row r="35" spans="1:2" ht="15.75" customHeight="1" x14ac:dyDescent="0.25">
      <c r="A35" s="175">
        <v>3.4000000000000002E-2</v>
      </c>
      <c r="B35" s="176">
        <v>34</v>
      </c>
    </row>
    <row r="36" spans="1:2" ht="15.75" customHeight="1" x14ac:dyDescent="0.25">
      <c r="A36" s="175">
        <v>3.5000000000000003E-2</v>
      </c>
      <c r="B36" s="176">
        <v>35</v>
      </c>
    </row>
    <row r="37" spans="1:2" ht="15.75" customHeight="1" x14ac:dyDescent="0.25">
      <c r="A37" s="175">
        <v>3.5999999999999997E-2</v>
      </c>
      <c r="B37" s="176">
        <v>36</v>
      </c>
    </row>
    <row r="38" spans="1:2" ht="15.75" customHeight="1" x14ac:dyDescent="0.25">
      <c r="A38" s="175">
        <v>3.6999999999999998E-2</v>
      </c>
      <c r="B38" s="176">
        <v>37</v>
      </c>
    </row>
    <row r="39" spans="1:2" ht="15.75" customHeight="1" x14ac:dyDescent="0.25">
      <c r="A39" s="175">
        <v>3.7999999999999999E-2</v>
      </c>
      <c r="B39" s="176">
        <v>38</v>
      </c>
    </row>
    <row r="40" spans="1:2" ht="15.75" customHeight="1" x14ac:dyDescent="0.25">
      <c r="A40" s="175">
        <v>3.9E-2</v>
      </c>
      <c r="B40" s="176">
        <v>39</v>
      </c>
    </row>
    <row r="41" spans="1:2" ht="15.75" customHeight="1" x14ac:dyDescent="0.25">
      <c r="A41" s="175">
        <v>0.04</v>
      </c>
      <c r="B41" s="176">
        <v>40</v>
      </c>
    </row>
    <row r="42" spans="1:2" ht="15.75" customHeight="1" x14ac:dyDescent="0.25">
      <c r="A42" s="175">
        <v>4.1000000000000002E-2</v>
      </c>
    </row>
    <row r="43" spans="1:2" ht="15.75" customHeight="1" x14ac:dyDescent="0.25">
      <c r="A43" s="175">
        <v>4.2000000000000003E-2</v>
      </c>
    </row>
    <row r="44" spans="1:2" ht="15.75" customHeight="1" x14ac:dyDescent="0.25">
      <c r="A44" s="175">
        <v>4.2999999999999997E-2</v>
      </c>
    </row>
    <row r="45" spans="1:2" ht="15.75" customHeight="1" x14ac:dyDescent="0.25">
      <c r="A45" s="175">
        <v>4.3999999999999997E-2</v>
      </c>
    </row>
    <row r="46" spans="1:2" ht="15.75" customHeight="1" x14ac:dyDescent="0.25">
      <c r="A46" s="175">
        <v>4.4999999999999998E-2</v>
      </c>
    </row>
    <row r="47" spans="1:2" ht="15.75" customHeight="1" x14ac:dyDescent="0.25">
      <c r="A47" s="175">
        <v>4.5999999999999999E-2</v>
      </c>
    </row>
    <row r="48" spans="1:2" ht="15.75" customHeight="1" x14ac:dyDescent="0.25">
      <c r="A48" s="175">
        <v>4.7E-2</v>
      </c>
    </row>
    <row r="49" spans="1:1" ht="15.75" customHeight="1" x14ac:dyDescent="0.25">
      <c r="A49" s="175">
        <v>4.8000000000000001E-2</v>
      </c>
    </row>
    <row r="50" spans="1:1" ht="15.75" customHeight="1" x14ac:dyDescent="0.25">
      <c r="A50" s="175">
        <v>4.9000000000000002E-2</v>
      </c>
    </row>
    <row r="51" spans="1:1" ht="15.75" customHeight="1" x14ac:dyDescent="0.25">
      <c r="A51" s="175">
        <v>0.05</v>
      </c>
    </row>
    <row r="52" spans="1:1" ht="15.75" customHeight="1" x14ac:dyDescent="0.25">
      <c r="A52" s="175">
        <v>5.0999999999999997E-2</v>
      </c>
    </row>
    <row r="53" spans="1:1" ht="15.75" customHeight="1" x14ac:dyDescent="0.25">
      <c r="A53" s="175">
        <v>5.1999999999999998E-2</v>
      </c>
    </row>
    <row r="54" spans="1:1" ht="15.75" customHeight="1" x14ac:dyDescent="0.25">
      <c r="A54" s="175">
        <v>5.2999999999999999E-2</v>
      </c>
    </row>
    <row r="55" spans="1:1" ht="15.75" customHeight="1" x14ac:dyDescent="0.25">
      <c r="A55" s="175">
        <v>5.3999999999999999E-2</v>
      </c>
    </row>
    <row r="56" spans="1:1" ht="15.75" customHeight="1" x14ac:dyDescent="0.25">
      <c r="A56" s="175">
        <v>5.5E-2</v>
      </c>
    </row>
    <row r="57" spans="1:1" ht="15.75" customHeight="1" x14ac:dyDescent="0.25">
      <c r="A57" s="175">
        <v>5.6000000000000001E-2</v>
      </c>
    </row>
    <row r="58" spans="1:1" ht="15.75" customHeight="1" x14ac:dyDescent="0.25">
      <c r="A58" s="175">
        <v>5.7000000000000002E-2</v>
      </c>
    </row>
    <row r="59" spans="1:1" ht="15.75" customHeight="1" x14ac:dyDescent="0.25">
      <c r="A59" s="175">
        <v>5.8000000000000003E-2</v>
      </c>
    </row>
    <row r="60" spans="1:1" ht="15.75" customHeight="1" x14ac:dyDescent="0.25">
      <c r="A60" s="175">
        <v>5.8999999999999997E-2</v>
      </c>
    </row>
    <row r="61" spans="1:1" ht="15.75" customHeight="1" x14ac:dyDescent="0.25">
      <c r="A61" s="175">
        <v>0.06</v>
      </c>
    </row>
    <row r="62" spans="1:1" ht="15.75" customHeight="1" x14ac:dyDescent="0.25">
      <c r="A62" s="175">
        <v>6.0999999999999999E-2</v>
      </c>
    </row>
    <row r="63" spans="1:1" ht="15.75" customHeight="1" x14ac:dyDescent="0.25">
      <c r="A63" s="175">
        <v>6.2E-2</v>
      </c>
    </row>
    <row r="64" spans="1:1" ht="15.75" customHeight="1" x14ac:dyDescent="0.25">
      <c r="A64" s="175">
        <v>6.3E-2</v>
      </c>
    </row>
    <row r="65" spans="1:1" ht="15.75" customHeight="1" x14ac:dyDescent="0.25">
      <c r="A65" s="175">
        <v>6.4000000000000001E-2</v>
      </c>
    </row>
    <row r="66" spans="1:1" ht="15.75" customHeight="1" x14ac:dyDescent="0.25">
      <c r="A66" s="175">
        <v>6.5000000000000002E-2</v>
      </c>
    </row>
    <row r="67" spans="1:1" ht="15.75" customHeight="1" x14ac:dyDescent="0.25">
      <c r="A67" s="175">
        <v>6.6000000000000003E-2</v>
      </c>
    </row>
    <row r="68" spans="1:1" ht="15.75" customHeight="1" x14ac:dyDescent="0.25">
      <c r="A68" s="175">
        <v>6.7000000000000004E-2</v>
      </c>
    </row>
    <row r="69" spans="1:1" ht="15.75" customHeight="1" x14ac:dyDescent="0.25">
      <c r="A69" s="175">
        <v>6.8000000000000005E-2</v>
      </c>
    </row>
    <row r="70" spans="1:1" ht="15.75" customHeight="1" x14ac:dyDescent="0.25">
      <c r="A70" s="175">
        <v>6.9000000000000006E-2</v>
      </c>
    </row>
    <row r="71" spans="1:1" ht="15.75" customHeight="1" x14ac:dyDescent="0.25">
      <c r="A71" s="175">
        <v>7.0000000000000007E-2</v>
      </c>
    </row>
    <row r="72" spans="1:1" ht="15.75" customHeight="1" x14ac:dyDescent="0.25">
      <c r="A72" s="175">
        <v>7.0999999999999994E-2</v>
      </c>
    </row>
    <row r="73" spans="1:1" ht="15.75" customHeight="1" x14ac:dyDescent="0.25">
      <c r="A73" s="175">
        <v>7.1999999999999995E-2</v>
      </c>
    </row>
    <row r="74" spans="1:1" ht="15.75" customHeight="1" x14ac:dyDescent="0.25">
      <c r="A74" s="175">
        <v>7.2999999999999995E-2</v>
      </c>
    </row>
    <row r="75" spans="1:1" ht="15.75" customHeight="1" x14ac:dyDescent="0.25">
      <c r="A75" s="175">
        <v>7.3999999999999996E-2</v>
      </c>
    </row>
    <row r="76" spans="1:1" ht="15.75" customHeight="1" x14ac:dyDescent="0.25">
      <c r="A76" s="175">
        <v>7.4999999999999997E-2</v>
      </c>
    </row>
    <row r="77" spans="1:1" ht="15.75" customHeight="1" x14ac:dyDescent="0.25">
      <c r="A77" s="175">
        <v>7.5999999999999998E-2</v>
      </c>
    </row>
    <row r="78" spans="1:1" ht="15.75" customHeight="1" x14ac:dyDescent="0.25">
      <c r="A78" s="175">
        <v>7.6999999999999999E-2</v>
      </c>
    </row>
    <row r="79" spans="1:1" ht="15.75" customHeight="1" x14ac:dyDescent="0.25">
      <c r="A79" s="175">
        <v>7.8E-2</v>
      </c>
    </row>
    <row r="80" spans="1:1" ht="15.75" customHeight="1" x14ac:dyDescent="0.25">
      <c r="A80" s="175">
        <v>7.9000000000000001E-2</v>
      </c>
    </row>
    <row r="81" spans="1:1" ht="15.75" customHeight="1" x14ac:dyDescent="0.25">
      <c r="A81" s="175">
        <v>0.08</v>
      </c>
    </row>
    <row r="82" spans="1:1" ht="15.75" customHeight="1" x14ac:dyDescent="0.25">
      <c r="A82" s="175">
        <v>8.1000000000000003E-2</v>
      </c>
    </row>
    <row r="83" spans="1:1" ht="15.75" customHeight="1" x14ac:dyDescent="0.25">
      <c r="A83" s="175">
        <v>8.2000000000000003E-2</v>
      </c>
    </row>
    <row r="84" spans="1:1" ht="15.75" customHeight="1" x14ac:dyDescent="0.25">
      <c r="A84" s="175">
        <v>8.3000000000000004E-2</v>
      </c>
    </row>
    <row r="85" spans="1:1" ht="15.75" customHeight="1" x14ac:dyDescent="0.25">
      <c r="A85" s="175">
        <v>8.4000000000000005E-2</v>
      </c>
    </row>
    <row r="86" spans="1:1" ht="15.75" customHeight="1" x14ac:dyDescent="0.25">
      <c r="A86" s="175">
        <v>8.5000000000000006E-2</v>
      </c>
    </row>
    <row r="87" spans="1:1" ht="15.75" customHeight="1" x14ac:dyDescent="0.25">
      <c r="A87" s="175">
        <v>8.5999999999999993E-2</v>
      </c>
    </row>
    <row r="88" spans="1:1" ht="15.75" customHeight="1" x14ac:dyDescent="0.25">
      <c r="A88" s="175">
        <v>8.6999999999999994E-2</v>
      </c>
    </row>
    <row r="89" spans="1:1" ht="15.75" customHeight="1" x14ac:dyDescent="0.25">
      <c r="A89" s="175">
        <v>8.7999999999999995E-2</v>
      </c>
    </row>
    <row r="90" spans="1:1" ht="15.75" customHeight="1" x14ac:dyDescent="0.25">
      <c r="A90" s="175">
        <v>8.8999999999999996E-2</v>
      </c>
    </row>
    <row r="91" spans="1:1" ht="15.75" customHeight="1" x14ac:dyDescent="0.25">
      <c r="A91" s="175">
        <v>0.09</v>
      </c>
    </row>
    <row r="92" spans="1:1" ht="15.75" customHeight="1" x14ac:dyDescent="0.25">
      <c r="A92" s="175">
        <v>9.0999999999999998E-2</v>
      </c>
    </row>
    <row r="93" spans="1:1" ht="15.75" customHeight="1" x14ac:dyDescent="0.25">
      <c r="A93" s="175">
        <v>9.1999999999999998E-2</v>
      </c>
    </row>
    <row r="94" spans="1:1" ht="15.75" customHeight="1" x14ac:dyDescent="0.25">
      <c r="A94" s="175">
        <v>9.2999999999999999E-2</v>
      </c>
    </row>
    <row r="95" spans="1:1" ht="15.75" customHeight="1" x14ac:dyDescent="0.25">
      <c r="A95" s="175">
        <v>9.4E-2</v>
      </c>
    </row>
    <row r="96" spans="1:1" ht="15.75" customHeight="1" x14ac:dyDescent="0.25">
      <c r="A96" s="175">
        <v>9.5000000000000001E-2</v>
      </c>
    </row>
    <row r="97" spans="1:1" ht="15.75" customHeight="1" x14ac:dyDescent="0.25">
      <c r="A97" s="175">
        <v>9.6000000000000002E-2</v>
      </c>
    </row>
    <row r="98" spans="1:1" ht="15.75" customHeight="1" x14ac:dyDescent="0.25">
      <c r="A98" s="175">
        <v>9.7000000000000003E-2</v>
      </c>
    </row>
    <row r="99" spans="1:1" ht="15.75" customHeight="1" x14ac:dyDescent="0.25">
      <c r="A99" s="175">
        <v>9.8000000000000004E-2</v>
      </c>
    </row>
    <row r="100" spans="1:1" ht="15.75" customHeight="1" x14ac:dyDescent="0.25">
      <c r="A100" s="175">
        <v>9.9000000000000005E-2</v>
      </c>
    </row>
    <row r="101" spans="1:1" ht="15.75" customHeight="1" x14ac:dyDescent="0.25">
      <c r="A101" s="175">
        <v>0.1</v>
      </c>
    </row>
    <row r="102" spans="1:1" ht="15.75" customHeight="1" x14ac:dyDescent="0.25">
      <c r="A102" s="175">
        <v>0.10100000000000001</v>
      </c>
    </row>
    <row r="103" spans="1:1" ht="15.75" customHeight="1" x14ac:dyDescent="0.25">
      <c r="A103" s="175">
        <v>0.10199999999999999</v>
      </c>
    </row>
    <row r="104" spans="1:1" ht="15.75" customHeight="1" x14ac:dyDescent="0.25">
      <c r="A104" s="175">
        <v>0.10299999999999999</v>
      </c>
    </row>
    <row r="105" spans="1:1" ht="15.75" customHeight="1" x14ac:dyDescent="0.25">
      <c r="A105" s="175">
        <v>0.104</v>
      </c>
    </row>
    <row r="106" spans="1:1" ht="15.75" customHeight="1" x14ac:dyDescent="0.25">
      <c r="A106" s="175">
        <v>0.105</v>
      </c>
    </row>
    <row r="107" spans="1:1" ht="15.75" customHeight="1" x14ac:dyDescent="0.25">
      <c r="A107" s="175">
        <v>0.106</v>
      </c>
    </row>
    <row r="108" spans="1:1" ht="15.75" customHeight="1" x14ac:dyDescent="0.25">
      <c r="A108" s="175">
        <v>0.107</v>
      </c>
    </row>
    <row r="109" spans="1:1" ht="15.75" customHeight="1" x14ac:dyDescent="0.25">
      <c r="A109" s="175">
        <v>0.108</v>
      </c>
    </row>
    <row r="110" spans="1:1" ht="15.75" customHeight="1" x14ac:dyDescent="0.25">
      <c r="A110" s="175">
        <v>0.109</v>
      </c>
    </row>
    <row r="111" spans="1:1" ht="15.75" customHeight="1" x14ac:dyDescent="0.25">
      <c r="A111" s="175">
        <v>0.11</v>
      </c>
    </row>
    <row r="112" spans="1:1" ht="15.75" customHeight="1" x14ac:dyDescent="0.25">
      <c r="A112" s="175">
        <v>0.111</v>
      </c>
    </row>
    <row r="113" spans="1:1" ht="15.75" customHeight="1" x14ac:dyDescent="0.25">
      <c r="A113" s="175">
        <v>0.112</v>
      </c>
    </row>
    <row r="114" spans="1:1" ht="15.75" customHeight="1" x14ac:dyDescent="0.25">
      <c r="A114" s="175">
        <v>0.113</v>
      </c>
    </row>
    <row r="115" spans="1:1" ht="15.75" customHeight="1" x14ac:dyDescent="0.25">
      <c r="A115" s="175">
        <v>0.114</v>
      </c>
    </row>
    <row r="116" spans="1:1" ht="15.75" customHeight="1" x14ac:dyDescent="0.25">
      <c r="A116" s="175">
        <v>0.115</v>
      </c>
    </row>
    <row r="117" spans="1:1" ht="15.75" customHeight="1" x14ac:dyDescent="0.25">
      <c r="A117" s="175">
        <v>0.11600000000000001</v>
      </c>
    </row>
    <row r="118" spans="1:1" ht="15.75" customHeight="1" x14ac:dyDescent="0.25">
      <c r="A118" s="175">
        <v>0.11700000000000001</v>
      </c>
    </row>
    <row r="119" spans="1:1" ht="15.75" customHeight="1" x14ac:dyDescent="0.25">
      <c r="A119" s="175">
        <v>0.11799999999999999</v>
      </c>
    </row>
    <row r="120" spans="1:1" ht="15.75" customHeight="1" x14ac:dyDescent="0.25">
      <c r="A120" s="175">
        <v>0.11899999999999999</v>
      </c>
    </row>
    <row r="121" spans="1:1" ht="15.75" customHeight="1" x14ac:dyDescent="0.25">
      <c r="A121" s="175">
        <v>0.12</v>
      </c>
    </row>
    <row r="122" spans="1:1" ht="15.75" customHeight="1" x14ac:dyDescent="0.25">
      <c r="A122" s="175">
        <v>0.121</v>
      </c>
    </row>
    <row r="123" spans="1:1" ht="15.75" customHeight="1" x14ac:dyDescent="0.25">
      <c r="A123" s="175">
        <v>0.122</v>
      </c>
    </row>
    <row r="124" spans="1:1" ht="15.75" customHeight="1" x14ac:dyDescent="0.25">
      <c r="A124" s="175">
        <v>0.123</v>
      </c>
    </row>
    <row r="125" spans="1:1" ht="15.75" customHeight="1" x14ac:dyDescent="0.25">
      <c r="A125" s="175">
        <v>0.124</v>
      </c>
    </row>
    <row r="126" spans="1:1" ht="15.75" customHeight="1" x14ac:dyDescent="0.25">
      <c r="A126" s="175">
        <v>0.125</v>
      </c>
    </row>
    <row r="127" spans="1:1" ht="15.75" customHeight="1" x14ac:dyDescent="0.25">
      <c r="A127" s="175">
        <v>0.126</v>
      </c>
    </row>
    <row r="128" spans="1:1" ht="15.75" customHeight="1" x14ac:dyDescent="0.25">
      <c r="A128" s="175">
        <v>0.127</v>
      </c>
    </row>
    <row r="129" spans="1:1" ht="15.75" customHeight="1" x14ac:dyDescent="0.25">
      <c r="A129" s="175">
        <v>0.128</v>
      </c>
    </row>
    <row r="130" spans="1:1" ht="15.75" customHeight="1" x14ac:dyDescent="0.25">
      <c r="A130" s="175">
        <v>0.129</v>
      </c>
    </row>
    <row r="131" spans="1:1" ht="15.75" customHeight="1" x14ac:dyDescent="0.25">
      <c r="A131" s="175">
        <v>0.13</v>
      </c>
    </row>
    <row r="132" spans="1:1" ht="15.75" customHeight="1" x14ac:dyDescent="0.25">
      <c r="A132" s="175">
        <v>0.13100000000000001</v>
      </c>
    </row>
    <row r="133" spans="1:1" ht="15.75" customHeight="1" x14ac:dyDescent="0.25">
      <c r="A133" s="175">
        <v>0.13200000000000001</v>
      </c>
    </row>
    <row r="134" spans="1:1" ht="15.75" customHeight="1" x14ac:dyDescent="0.25">
      <c r="A134" s="175">
        <v>0.13300000000000001</v>
      </c>
    </row>
    <row r="135" spans="1:1" ht="15.75" customHeight="1" x14ac:dyDescent="0.25">
      <c r="A135" s="175">
        <v>0.13400000000000001</v>
      </c>
    </row>
    <row r="136" spans="1:1" ht="15.75" customHeight="1" x14ac:dyDescent="0.25">
      <c r="A136" s="175">
        <v>0.13500000000000001</v>
      </c>
    </row>
    <row r="137" spans="1:1" ht="15.75" customHeight="1" x14ac:dyDescent="0.25">
      <c r="A137" s="175">
        <v>0.13600000000000001</v>
      </c>
    </row>
    <row r="138" spans="1:1" ht="15.75" customHeight="1" x14ac:dyDescent="0.25">
      <c r="A138" s="175">
        <v>0.13700000000000001</v>
      </c>
    </row>
    <row r="139" spans="1:1" ht="15.75" customHeight="1" x14ac:dyDescent="0.25">
      <c r="A139" s="175">
        <v>0.13800000000000001</v>
      </c>
    </row>
    <row r="140" spans="1:1" ht="15.75" customHeight="1" x14ac:dyDescent="0.25">
      <c r="A140" s="175">
        <v>0.13900000000000001</v>
      </c>
    </row>
    <row r="141" spans="1:1" ht="15.75" customHeight="1" x14ac:dyDescent="0.25">
      <c r="A141" s="175">
        <v>0.14000000000000001</v>
      </c>
    </row>
    <row r="142" spans="1:1" ht="15.75" customHeight="1" x14ac:dyDescent="0.25">
      <c r="A142" s="175">
        <v>0.14099999999999999</v>
      </c>
    </row>
    <row r="143" spans="1:1" ht="15.75" customHeight="1" x14ac:dyDescent="0.25">
      <c r="A143" s="175">
        <v>0.14199999999999999</v>
      </c>
    </row>
    <row r="144" spans="1:1" ht="15.75" customHeight="1" x14ac:dyDescent="0.25">
      <c r="A144" s="175">
        <v>0.14299999999999999</v>
      </c>
    </row>
    <row r="145" spans="1:1" ht="15.75" customHeight="1" x14ac:dyDescent="0.25">
      <c r="A145" s="175">
        <v>0.14399999999999999</v>
      </c>
    </row>
    <row r="146" spans="1:1" ht="15.75" customHeight="1" x14ac:dyDescent="0.25">
      <c r="A146" s="175">
        <v>0.14499999999999999</v>
      </c>
    </row>
    <row r="147" spans="1:1" ht="15.75" customHeight="1" x14ac:dyDescent="0.25">
      <c r="A147" s="175">
        <v>0.14599999999999999</v>
      </c>
    </row>
    <row r="148" spans="1:1" ht="15.75" customHeight="1" x14ac:dyDescent="0.25">
      <c r="A148" s="175">
        <v>0.14699999999999999</v>
      </c>
    </row>
    <row r="149" spans="1:1" ht="15.75" customHeight="1" x14ac:dyDescent="0.25">
      <c r="A149" s="175">
        <v>0.14799999999999999</v>
      </c>
    </row>
    <row r="150" spans="1:1" ht="15.75" customHeight="1" x14ac:dyDescent="0.25">
      <c r="A150" s="175">
        <v>0.14899999999999999</v>
      </c>
    </row>
    <row r="151" spans="1:1" ht="15.75" customHeight="1" x14ac:dyDescent="0.25">
      <c r="A151" s="175">
        <v>0.15</v>
      </c>
    </row>
    <row r="152" spans="1:1" ht="15.75" customHeight="1" x14ac:dyDescent="0.25">
      <c r="A152" s="175">
        <v>0.151</v>
      </c>
    </row>
    <row r="153" spans="1:1" ht="15.75" customHeight="1" x14ac:dyDescent="0.25">
      <c r="A153" s="175">
        <v>0.152</v>
      </c>
    </row>
    <row r="154" spans="1:1" ht="15.75" customHeight="1" x14ac:dyDescent="0.25">
      <c r="A154" s="175">
        <v>0.153</v>
      </c>
    </row>
    <row r="155" spans="1:1" ht="15.75" customHeight="1" x14ac:dyDescent="0.25">
      <c r="A155" s="175">
        <v>0.154</v>
      </c>
    </row>
    <row r="156" spans="1:1" ht="15.75" customHeight="1" x14ac:dyDescent="0.25">
      <c r="A156" s="175">
        <v>0.155</v>
      </c>
    </row>
    <row r="157" spans="1:1" ht="15.75" customHeight="1" x14ac:dyDescent="0.25">
      <c r="A157" s="175">
        <v>0.156</v>
      </c>
    </row>
    <row r="158" spans="1:1" ht="15.75" customHeight="1" x14ac:dyDescent="0.25">
      <c r="A158" s="175">
        <v>0.157</v>
      </c>
    </row>
    <row r="159" spans="1:1" ht="15.75" customHeight="1" x14ac:dyDescent="0.25">
      <c r="A159" s="175">
        <v>0.158</v>
      </c>
    </row>
    <row r="160" spans="1:1" ht="15.75" customHeight="1" x14ac:dyDescent="0.25">
      <c r="A160" s="175">
        <v>0.159</v>
      </c>
    </row>
    <row r="161" spans="1:1" ht="15.75" customHeight="1" x14ac:dyDescent="0.25">
      <c r="A161" s="175">
        <v>0.16</v>
      </c>
    </row>
    <row r="162" spans="1:1" ht="15.75" customHeight="1" x14ac:dyDescent="0.25">
      <c r="A162" s="175">
        <v>0.161</v>
      </c>
    </row>
    <row r="163" spans="1:1" ht="15.75" customHeight="1" x14ac:dyDescent="0.25">
      <c r="A163" s="175">
        <v>0.16200000000000001</v>
      </c>
    </row>
    <row r="164" spans="1:1" ht="15.75" customHeight="1" x14ac:dyDescent="0.25">
      <c r="A164" s="175">
        <v>0.16300000000000001</v>
      </c>
    </row>
    <row r="165" spans="1:1" ht="15.75" customHeight="1" x14ac:dyDescent="0.25">
      <c r="A165" s="175">
        <v>0.16400000000000001</v>
      </c>
    </row>
    <row r="166" spans="1:1" ht="15.75" customHeight="1" x14ac:dyDescent="0.25">
      <c r="A166" s="175">
        <v>0.16500000000000001</v>
      </c>
    </row>
    <row r="167" spans="1:1" ht="15.75" customHeight="1" x14ac:dyDescent="0.25">
      <c r="A167" s="175">
        <v>0.16600000000000001</v>
      </c>
    </row>
    <row r="168" spans="1:1" ht="15.75" customHeight="1" x14ac:dyDescent="0.25">
      <c r="A168" s="175">
        <v>0.16700000000000001</v>
      </c>
    </row>
    <row r="169" spans="1:1" ht="15.75" customHeight="1" x14ac:dyDescent="0.25">
      <c r="A169" s="175">
        <v>0.16800000000000001</v>
      </c>
    </row>
    <row r="170" spans="1:1" ht="15.75" customHeight="1" x14ac:dyDescent="0.25">
      <c r="A170" s="175">
        <v>0.16900000000000001</v>
      </c>
    </row>
    <row r="171" spans="1:1" ht="15.75" customHeight="1" x14ac:dyDescent="0.25">
      <c r="A171" s="175">
        <v>0.17</v>
      </c>
    </row>
    <row r="172" spans="1:1" ht="15.75" customHeight="1" x14ac:dyDescent="0.25">
      <c r="A172" s="175">
        <v>0.17100000000000001</v>
      </c>
    </row>
    <row r="173" spans="1:1" ht="15.75" customHeight="1" x14ac:dyDescent="0.25">
      <c r="A173" s="175">
        <v>0.17199999999999999</v>
      </c>
    </row>
    <row r="174" spans="1:1" ht="15.75" customHeight="1" x14ac:dyDescent="0.25">
      <c r="A174" s="175">
        <v>0.17299999999999999</v>
      </c>
    </row>
    <row r="175" spans="1:1" ht="15.75" customHeight="1" x14ac:dyDescent="0.25">
      <c r="A175" s="175">
        <v>0.17399999999999999</v>
      </c>
    </row>
    <row r="176" spans="1:1" ht="15.75" customHeight="1" x14ac:dyDescent="0.25">
      <c r="A176" s="175">
        <v>0.17499999999999999</v>
      </c>
    </row>
    <row r="177" spans="1:1" ht="15.75" customHeight="1" x14ac:dyDescent="0.25">
      <c r="A177" s="175">
        <v>0.17599999999999999</v>
      </c>
    </row>
    <row r="178" spans="1:1" ht="15.75" customHeight="1" x14ac:dyDescent="0.25">
      <c r="A178" s="175">
        <v>0.17699999999999999</v>
      </c>
    </row>
    <row r="179" spans="1:1" ht="15.75" customHeight="1" x14ac:dyDescent="0.25">
      <c r="A179" s="175">
        <v>0.17799999999999999</v>
      </c>
    </row>
    <row r="180" spans="1:1" ht="15.75" customHeight="1" x14ac:dyDescent="0.25">
      <c r="A180" s="175">
        <v>0.17899999999999999</v>
      </c>
    </row>
    <row r="181" spans="1:1" ht="15.75" customHeight="1" x14ac:dyDescent="0.25">
      <c r="A181" s="175">
        <v>0.18</v>
      </c>
    </row>
    <row r="182" spans="1:1" ht="15.75" customHeight="1" x14ac:dyDescent="0.25">
      <c r="A182" s="175">
        <v>0.18099999999999999</v>
      </c>
    </row>
    <row r="183" spans="1:1" ht="15.75" customHeight="1" x14ac:dyDescent="0.25">
      <c r="A183" s="175">
        <v>0.182</v>
      </c>
    </row>
    <row r="184" spans="1:1" ht="15.75" customHeight="1" x14ac:dyDescent="0.25">
      <c r="A184" s="175">
        <v>0.183</v>
      </c>
    </row>
    <row r="185" spans="1:1" ht="15.75" customHeight="1" x14ac:dyDescent="0.25">
      <c r="A185" s="175">
        <v>0.184</v>
      </c>
    </row>
    <row r="186" spans="1:1" ht="15.75" customHeight="1" x14ac:dyDescent="0.25">
      <c r="A186" s="175">
        <v>0.185</v>
      </c>
    </row>
    <row r="187" spans="1:1" ht="15.75" customHeight="1" x14ac:dyDescent="0.25">
      <c r="A187" s="175">
        <v>0.186</v>
      </c>
    </row>
    <row r="188" spans="1:1" ht="15.75" customHeight="1" x14ac:dyDescent="0.25">
      <c r="A188" s="175">
        <v>0.187</v>
      </c>
    </row>
    <row r="189" spans="1:1" ht="15.75" customHeight="1" x14ac:dyDescent="0.25">
      <c r="A189" s="175">
        <v>0.188</v>
      </c>
    </row>
    <row r="190" spans="1:1" ht="15.75" customHeight="1" x14ac:dyDescent="0.25">
      <c r="A190" s="175">
        <v>0.189</v>
      </c>
    </row>
    <row r="191" spans="1:1" ht="15.75" customHeight="1" x14ac:dyDescent="0.25">
      <c r="A191" s="175">
        <v>0.19</v>
      </c>
    </row>
    <row r="192" spans="1:1" ht="15.75" customHeight="1" x14ac:dyDescent="0.25">
      <c r="A192" s="175">
        <v>0.191</v>
      </c>
    </row>
    <row r="193" spans="1:1" ht="15.75" customHeight="1" x14ac:dyDescent="0.25">
      <c r="A193" s="175">
        <v>0.192</v>
      </c>
    </row>
    <row r="194" spans="1:1" ht="15.75" customHeight="1" x14ac:dyDescent="0.25">
      <c r="A194" s="175">
        <v>0.193</v>
      </c>
    </row>
    <row r="195" spans="1:1" ht="15.75" customHeight="1" x14ac:dyDescent="0.25">
      <c r="A195" s="175">
        <v>0.19400000000000001</v>
      </c>
    </row>
    <row r="196" spans="1:1" ht="15.75" customHeight="1" x14ac:dyDescent="0.25">
      <c r="A196" s="175">
        <v>0.19500000000000001</v>
      </c>
    </row>
    <row r="197" spans="1:1" ht="15.75" customHeight="1" x14ac:dyDescent="0.25">
      <c r="A197" s="175">
        <v>0.19600000000000001</v>
      </c>
    </row>
    <row r="198" spans="1:1" ht="15.75" customHeight="1" x14ac:dyDescent="0.25">
      <c r="A198" s="175">
        <v>0.19700000000000001</v>
      </c>
    </row>
    <row r="199" spans="1:1" ht="15.75" customHeight="1" x14ac:dyDescent="0.25">
      <c r="A199" s="175">
        <v>0.19800000000000001</v>
      </c>
    </row>
    <row r="200" spans="1:1" ht="15.75" customHeight="1" x14ac:dyDescent="0.25">
      <c r="A200" s="175">
        <v>0.19900000000000001</v>
      </c>
    </row>
    <row r="201" spans="1:1" ht="15.75" customHeight="1" x14ac:dyDescent="0.25">
      <c r="A201" s="175">
        <v>0.2</v>
      </c>
    </row>
    <row r="202" spans="1:1" ht="15.75" customHeight="1" x14ac:dyDescent="0.25">
      <c r="A202" s="175">
        <v>0.20100000000000001</v>
      </c>
    </row>
    <row r="203" spans="1:1" ht="15.75" customHeight="1" x14ac:dyDescent="0.25">
      <c r="A203" s="175">
        <v>0.20200000000000001</v>
      </c>
    </row>
    <row r="204" spans="1:1" ht="15.75" customHeight="1" x14ac:dyDescent="0.25">
      <c r="A204" s="175">
        <v>0.20300000000000001</v>
      </c>
    </row>
    <row r="205" spans="1:1" ht="15.75" customHeight="1" x14ac:dyDescent="0.25">
      <c r="A205" s="175">
        <v>0.20399999999999999</v>
      </c>
    </row>
    <row r="206" spans="1:1" ht="15.75" customHeight="1" x14ac:dyDescent="0.25">
      <c r="A206" s="175">
        <v>0.20499999999999999</v>
      </c>
    </row>
    <row r="207" spans="1:1" ht="15.75" customHeight="1" x14ac:dyDescent="0.25">
      <c r="A207" s="175">
        <v>0.20599999999999999</v>
      </c>
    </row>
    <row r="208" spans="1:1" ht="15.75" customHeight="1" x14ac:dyDescent="0.25">
      <c r="A208" s="175">
        <v>0.20699999999999999</v>
      </c>
    </row>
    <row r="209" spans="1:1" ht="15.75" customHeight="1" x14ac:dyDescent="0.25">
      <c r="A209" s="175">
        <v>0.20799999999999999</v>
      </c>
    </row>
    <row r="210" spans="1:1" ht="15.75" customHeight="1" x14ac:dyDescent="0.25">
      <c r="A210" s="175">
        <v>0.20899999999999999</v>
      </c>
    </row>
    <row r="211" spans="1:1" ht="15.75" customHeight="1" x14ac:dyDescent="0.25">
      <c r="A211" s="175">
        <v>0.21</v>
      </c>
    </row>
    <row r="212" spans="1:1" ht="15.75" customHeight="1" x14ac:dyDescent="0.25">
      <c r="A212" s="175">
        <v>0.21099999999999999</v>
      </c>
    </row>
    <row r="213" spans="1:1" ht="15.75" customHeight="1" x14ac:dyDescent="0.25">
      <c r="A213" s="175">
        <v>0.21199999999999999</v>
      </c>
    </row>
    <row r="214" spans="1:1" ht="15.75" customHeight="1" x14ac:dyDescent="0.25">
      <c r="A214" s="175">
        <v>0.21299999999999999</v>
      </c>
    </row>
    <row r="215" spans="1:1" ht="15.75" customHeight="1" x14ac:dyDescent="0.25">
      <c r="A215" s="175">
        <v>0.214</v>
      </c>
    </row>
    <row r="216" spans="1:1" ht="15.75" customHeight="1" x14ac:dyDescent="0.25">
      <c r="A216" s="175">
        <v>0.215</v>
      </c>
    </row>
    <row r="217" spans="1:1" ht="15.75" customHeight="1" x14ac:dyDescent="0.25">
      <c r="A217" s="175">
        <v>0.216</v>
      </c>
    </row>
    <row r="218" spans="1:1" ht="15.75" customHeight="1" x14ac:dyDescent="0.25">
      <c r="A218" s="175">
        <v>0.217</v>
      </c>
    </row>
    <row r="219" spans="1:1" ht="15.75" customHeight="1" x14ac:dyDescent="0.25">
      <c r="A219" s="175">
        <v>0.218</v>
      </c>
    </row>
    <row r="220" spans="1:1" ht="15.75" customHeight="1" x14ac:dyDescent="0.25">
      <c r="A220" s="175">
        <v>0.219</v>
      </c>
    </row>
    <row r="221" spans="1:1" ht="15.75" customHeight="1" x14ac:dyDescent="0.25">
      <c r="A221" s="175">
        <v>0.22</v>
      </c>
    </row>
    <row r="222" spans="1:1" ht="15.75" customHeight="1" x14ac:dyDescent="0.25">
      <c r="A222" s="175">
        <v>0.221</v>
      </c>
    </row>
    <row r="223" spans="1:1" ht="15.75" customHeight="1" x14ac:dyDescent="0.25">
      <c r="A223" s="175">
        <v>0.222</v>
      </c>
    </row>
    <row r="224" spans="1:1" ht="15.75" customHeight="1" x14ac:dyDescent="0.25">
      <c r="A224" s="175">
        <v>0.223</v>
      </c>
    </row>
    <row r="225" spans="1:1" ht="15.75" customHeight="1" x14ac:dyDescent="0.25">
      <c r="A225" s="175">
        <v>0.224</v>
      </c>
    </row>
    <row r="226" spans="1:1" ht="15.75" customHeight="1" x14ac:dyDescent="0.25">
      <c r="A226" s="175">
        <v>0.22500000000000001</v>
      </c>
    </row>
    <row r="227" spans="1:1" ht="15.75" customHeight="1" x14ac:dyDescent="0.25">
      <c r="A227" s="175">
        <v>0.22600000000000001</v>
      </c>
    </row>
    <row r="228" spans="1:1" ht="15.75" customHeight="1" x14ac:dyDescent="0.25">
      <c r="A228" s="175">
        <v>0.22700000000000001</v>
      </c>
    </row>
    <row r="229" spans="1:1" ht="15.75" customHeight="1" x14ac:dyDescent="0.25">
      <c r="A229" s="175">
        <v>0.22800000000000001</v>
      </c>
    </row>
    <row r="230" spans="1:1" ht="15.75" customHeight="1" x14ac:dyDescent="0.25">
      <c r="A230" s="175">
        <v>0.22900000000000001</v>
      </c>
    </row>
    <row r="231" spans="1:1" ht="15.75" customHeight="1" x14ac:dyDescent="0.25">
      <c r="A231" s="175">
        <v>0.23</v>
      </c>
    </row>
    <row r="232" spans="1:1" ht="15.75" customHeight="1" x14ac:dyDescent="0.25">
      <c r="A232" s="175">
        <v>0.23100000000000001</v>
      </c>
    </row>
    <row r="233" spans="1:1" ht="15.75" customHeight="1" x14ac:dyDescent="0.25">
      <c r="A233" s="175">
        <v>0.23200000000000001</v>
      </c>
    </row>
    <row r="234" spans="1:1" ht="15.75" customHeight="1" x14ac:dyDescent="0.25">
      <c r="A234" s="175">
        <v>0.23300000000000001</v>
      </c>
    </row>
    <row r="235" spans="1:1" ht="15.75" customHeight="1" x14ac:dyDescent="0.25">
      <c r="A235" s="175">
        <v>0.23400000000000001</v>
      </c>
    </row>
    <row r="236" spans="1:1" ht="15.75" customHeight="1" x14ac:dyDescent="0.25">
      <c r="A236" s="175">
        <v>0.23499999999999999</v>
      </c>
    </row>
    <row r="237" spans="1:1" ht="15.75" customHeight="1" x14ac:dyDescent="0.25">
      <c r="A237" s="175">
        <v>0.23599999999999999</v>
      </c>
    </row>
    <row r="238" spans="1:1" ht="15.75" customHeight="1" x14ac:dyDescent="0.25">
      <c r="A238" s="175">
        <v>0.23699999999999999</v>
      </c>
    </row>
    <row r="239" spans="1:1" ht="15.75" customHeight="1" x14ac:dyDescent="0.25">
      <c r="A239" s="175">
        <v>0.23799999999999999</v>
      </c>
    </row>
    <row r="240" spans="1:1" ht="15.75" customHeight="1" x14ac:dyDescent="0.25">
      <c r="A240" s="175">
        <v>0.23899999999999999</v>
      </c>
    </row>
    <row r="241" spans="1:1" ht="15.75" customHeight="1" x14ac:dyDescent="0.25">
      <c r="A241" s="175">
        <v>0.24</v>
      </c>
    </row>
    <row r="242" spans="1:1" ht="15.75" customHeight="1" x14ac:dyDescent="0.25">
      <c r="A242" s="175">
        <v>0.24099999999999999</v>
      </c>
    </row>
    <row r="243" spans="1:1" ht="15.75" customHeight="1" x14ac:dyDescent="0.25">
      <c r="A243" s="175">
        <v>0.24199999999999999</v>
      </c>
    </row>
    <row r="244" spans="1:1" ht="15.75" customHeight="1" x14ac:dyDescent="0.25">
      <c r="A244" s="175">
        <v>0.24299999999999999</v>
      </c>
    </row>
    <row r="245" spans="1:1" ht="15.75" customHeight="1" x14ac:dyDescent="0.25">
      <c r="A245" s="175">
        <v>0.24399999999999999</v>
      </c>
    </row>
    <row r="246" spans="1:1" ht="15.75" customHeight="1" x14ac:dyDescent="0.25">
      <c r="A246" s="175">
        <v>0.245</v>
      </c>
    </row>
    <row r="247" spans="1:1" ht="15.75" customHeight="1" x14ac:dyDescent="0.25">
      <c r="A247" s="175">
        <v>0.246</v>
      </c>
    </row>
    <row r="248" spans="1:1" ht="15.75" customHeight="1" x14ac:dyDescent="0.25">
      <c r="A248" s="175">
        <v>0.247</v>
      </c>
    </row>
    <row r="249" spans="1:1" ht="15.75" customHeight="1" x14ac:dyDescent="0.25">
      <c r="A249" s="175">
        <v>0.248</v>
      </c>
    </row>
    <row r="250" spans="1:1" ht="15.75" customHeight="1" x14ac:dyDescent="0.25">
      <c r="A250" s="175">
        <v>0.249</v>
      </c>
    </row>
    <row r="251" spans="1:1" ht="15.75" customHeight="1" x14ac:dyDescent="0.25">
      <c r="A251" s="175">
        <v>0.25</v>
      </c>
    </row>
    <row r="252" spans="1:1" ht="15.75" customHeight="1" x14ac:dyDescent="0.25">
      <c r="A252" s="175">
        <v>0.251</v>
      </c>
    </row>
    <row r="253" spans="1:1" ht="15.75" customHeight="1" x14ac:dyDescent="0.25">
      <c r="A253" s="175">
        <v>0.252</v>
      </c>
    </row>
    <row r="254" spans="1:1" ht="15.75" customHeight="1" x14ac:dyDescent="0.25">
      <c r="A254" s="175">
        <v>0.253</v>
      </c>
    </row>
    <row r="255" spans="1:1" ht="15.75" customHeight="1" x14ac:dyDescent="0.25">
      <c r="A255" s="175">
        <v>0.254</v>
      </c>
    </row>
    <row r="256" spans="1:1" ht="15.75" customHeight="1" x14ac:dyDescent="0.25">
      <c r="A256" s="175">
        <v>0.255</v>
      </c>
    </row>
    <row r="257" spans="1:1" ht="15.75" customHeight="1" x14ac:dyDescent="0.25">
      <c r="A257" s="175">
        <v>0.25600000000000001</v>
      </c>
    </row>
    <row r="258" spans="1:1" ht="15.75" customHeight="1" x14ac:dyDescent="0.25">
      <c r="A258" s="175">
        <v>0.25700000000000001</v>
      </c>
    </row>
    <row r="259" spans="1:1" ht="15.75" customHeight="1" x14ac:dyDescent="0.25">
      <c r="A259" s="175">
        <v>0.25800000000000001</v>
      </c>
    </row>
    <row r="260" spans="1:1" ht="15.75" customHeight="1" x14ac:dyDescent="0.25">
      <c r="A260" s="175">
        <v>0.25900000000000001</v>
      </c>
    </row>
    <row r="261" spans="1:1" ht="15.75" customHeight="1" x14ac:dyDescent="0.25">
      <c r="A261" s="175">
        <v>0.26</v>
      </c>
    </row>
    <row r="262" spans="1:1" ht="15.75" customHeight="1" x14ac:dyDescent="0.25">
      <c r="A262" s="175">
        <v>0.26100000000000001</v>
      </c>
    </row>
    <row r="263" spans="1:1" ht="15.75" customHeight="1" x14ac:dyDescent="0.25">
      <c r="A263" s="175">
        <v>0.26200000000000001</v>
      </c>
    </row>
    <row r="264" spans="1:1" ht="15.75" customHeight="1" x14ac:dyDescent="0.25">
      <c r="A264" s="175">
        <v>0.26300000000000001</v>
      </c>
    </row>
    <row r="265" spans="1:1" ht="15.75" customHeight="1" x14ac:dyDescent="0.25">
      <c r="A265" s="175">
        <v>0.26400000000000001</v>
      </c>
    </row>
    <row r="266" spans="1:1" ht="15.75" customHeight="1" x14ac:dyDescent="0.25">
      <c r="A266" s="175">
        <v>0.26500000000000001</v>
      </c>
    </row>
    <row r="267" spans="1:1" ht="15.75" customHeight="1" x14ac:dyDescent="0.25">
      <c r="A267" s="175"/>
    </row>
    <row r="268" spans="1:1" ht="15.75" customHeight="1" x14ac:dyDescent="0.25">
      <c r="A268" s="175"/>
    </row>
    <row r="269" spans="1:1" ht="15.75" customHeight="1" x14ac:dyDescent="0.25">
      <c r="A269" s="175"/>
    </row>
    <row r="270" spans="1:1" ht="15.75" customHeight="1" x14ac:dyDescent="0.25">
      <c r="A270" s="175"/>
    </row>
    <row r="271" spans="1:1" ht="15.75" customHeight="1" x14ac:dyDescent="0.25">
      <c r="A271" s="175"/>
    </row>
    <row r="272" spans="1:1" ht="15.75" customHeight="1" x14ac:dyDescent="0.25">
      <c r="A272" s="175"/>
    </row>
    <row r="273" spans="1:1" ht="15.75" customHeight="1" x14ac:dyDescent="0.25">
      <c r="A273" s="175"/>
    </row>
    <row r="274" spans="1:1" ht="15.75" customHeight="1" x14ac:dyDescent="0.25">
      <c r="A274" s="175"/>
    </row>
    <row r="275" spans="1:1" ht="15.75" customHeight="1" x14ac:dyDescent="0.25">
      <c r="A275" s="175"/>
    </row>
    <row r="276" spans="1:1" ht="15.75" customHeight="1" x14ac:dyDescent="0.25">
      <c r="A276" s="175"/>
    </row>
    <row r="277" spans="1:1" ht="15.75" customHeight="1" x14ac:dyDescent="0.25">
      <c r="A277" s="175"/>
    </row>
    <row r="278" spans="1:1" ht="15.75" customHeight="1" x14ac:dyDescent="0.25">
      <c r="A278" s="175"/>
    </row>
    <row r="279" spans="1:1" ht="15.75" customHeight="1" x14ac:dyDescent="0.25">
      <c r="A279" s="175"/>
    </row>
    <row r="280" spans="1:1" ht="15.75" customHeight="1" x14ac:dyDescent="0.25">
      <c r="A280" s="175"/>
    </row>
    <row r="281" spans="1:1" ht="15.75" customHeight="1" x14ac:dyDescent="0.25">
      <c r="A281" s="175"/>
    </row>
    <row r="282" spans="1:1" ht="15.75" customHeight="1" x14ac:dyDescent="0.25">
      <c r="A282" s="175"/>
    </row>
    <row r="283" spans="1:1" ht="15.75" customHeight="1" x14ac:dyDescent="0.25">
      <c r="A283" s="175"/>
    </row>
    <row r="284" spans="1:1" ht="15.75" customHeight="1" x14ac:dyDescent="0.25">
      <c r="A284" s="175"/>
    </row>
    <row r="285" spans="1:1" ht="15.75" customHeight="1" x14ac:dyDescent="0.25">
      <c r="A285" s="175"/>
    </row>
    <row r="286" spans="1:1" ht="15.75" customHeight="1" x14ac:dyDescent="0.25">
      <c r="A286" s="175"/>
    </row>
    <row r="287" spans="1:1" ht="15.75" customHeight="1" x14ac:dyDescent="0.25">
      <c r="A287" s="175"/>
    </row>
    <row r="288" spans="1:1" ht="15.75" customHeight="1" x14ac:dyDescent="0.25">
      <c r="A288" s="175"/>
    </row>
    <row r="289" spans="1:1" ht="15.75" customHeight="1" x14ac:dyDescent="0.25">
      <c r="A289" s="175"/>
    </row>
    <row r="290" spans="1:1" ht="15.75" customHeight="1" x14ac:dyDescent="0.25">
      <c r="A290" s="175"/>
    </row>
    <row r="291" spans="1:1" ht="15.75" customHeight="1" x14ac:dyDescent="0.25">
      <c r="A291" s="175"/>
    </row>
    <row r="292" spans="1:1" ht="15.75" customHeight="1" x14ac:dyDescent="0.25">
      <c r="A292" s="175"/>
    </row>
    <row r="293" spans="1:1" ht="15.75" customHeight="1" x14ac:dyDescent="0.25">
      <c r="A293" s="175"/>
    </row>
    <row r="294" spans="1:1" ht="15.75" customHeight="1" x14ac:dyDescent="0.25">
      <c r="A294" s="175"/>
    </row>
    <row r="295" spans="1:1" ht="15.75" customHeight="1" x14ac:dyDescent="0.25">
      <c r="A295" s="175"/>
    </row>
    <row r="296" spans="1:1" ht="15.75" customHeight="1" x14ac:dyDescent="0.25">
      <c r="A296" s="175"/>
    </row>
    <row r="297" spans="1:1" ht="15.75" customHeight="1" x14ac:dyDescent="0.25">
      <c r="A297" s="175"/>
    </row>
    <row r="298" spans="1:1" ht="15.75" customHeight="1" x14ac:dyDescent="0.25">
      <c r="A298" s="175"/>
    </row>
    <row r="299" spans="1:1" ht="15.75" customHeight="1" x14ac:dyDescent="0.25">
      <c r="A299" s="175"/>
    </row>
    <row r="300" spans="1:1" ht="15.75" customHeight="1" x14ac:dyDescent="0.25">
      <c r="A300" s="175"/>
    </row>
    <row r="301" spans="1:1" ht="15.75" customHeight="1" x14ac:dyDescent="0.25">
      <c r="A301" s="175"/>
    </row>
    <row r="302" spans="1:1" ht="15.75" customHeight="1" x14ac:dyDescent="0.25">
      <c r="A302" s="175"/>
    </row>
    <row r="303" spans="1:1" ht="15.75" customHeight="1" x14ac:dyDescent="0.25">
      <c r="A303" s="175"/>
    </row>
    <row r="304" spans="1:1" ht="15.75" customHeight="1" x14ac:dyDescent="0.25">
      <c r="A304" s="175"/>
    </row>
    <row r="305" spans="1:1" ht="15.75" customHeight="1" x14ac:dyDescent="0.25">
      <c r="A305" s="175"/>
    </row>
    <row r="306" spans="1:1" ht="15.75" customHeight="1" x14ac:dyDescent="0.25">
      <c r="A306" s="175"/>
    </row>
    <row r="307" spans="1:1" ht="15.75" customHeight="1" x14ac:dyDescent="0.25">
      <c r="A307" s="175"/>
    </row>
    <row r="308" spans="1:1" ht="15.75" customHeight="1" x14ac:dyDescent="0.25">
      <c r="A308" s="175"/>
    </row>
    <row r="309" spans="1:1" ht="15.75" customHeight="1" x14ac:dyDescent="0.25">
      <c r="A309" s="175"/>
    </row>
    <row r="310" spans="1:1" ht="15.75" customHeight="1" x14ac:dyDescent="0.25">
      <c r="A310" s="175"/>
    </row>
    <row r="311" spans="1:1" ht="15.75" customHeight="1" x14ac:dyDescent="0.25">
      <c r="A311" s="175"/>
    </row>
    <row r="312" spans="1:1" ht="15.75" customHeight="1" x14ac:dyDescent="0.25">
      <c r="A312" s="175"/>
    </row>
    <row r="313" spans="1:1" ht="15.75" customHeight="1" x14ac:dyDescent="0.25">
      <c r="A313" s="175"/>
    </row>
    <row r="314" spans="1:1" ht="15.75" customHeight="1" x14ac:dyDescent="0.25">
      <c r="A314" s="175"/>
    </row>
    <row r="315" spans="1:1" ht="15.75" customHeight="1" x14ac:dyDescent="0.25">
      <c r="A315" s="175"/>
    </row>
    <row r="316" spans="1:1" ht="15.75" customHeight="1" x14ac:dyDescent="0.25">
      <c r="A316" s="175"/>
    </row>
    <row r="317" spans="1:1" ht="15.75" customHeight="1" x14ac:dyDescent="0.25">
      <c r="A317" s="175"/>
    </row>
    <row r="318" spans="1:1" ht="15.75" customHeight="1" x14ac:dyDescent="0.25">
      <c r="A318" s="175"/>
    </row>
    <row r="319" spans="1:1" ht="15.75" customHeight="1" x14ac:dyDescent="0.25">
      <c r="A319" s="175"/>
    </row>
    <row r="320" spans="1:1" ht="15.75" customHeight="1" x14ac:dyDescent="0.25">
      <c r="A320" s="175"/>
    </row>
    <row r="321" spans="1:1" ht="15.75" customHeight="1" x14ac:dyDescent="0.25">
      <c r="A321" s="175"/>
    </row>
    <row r="322" spans="1:1" ht="15.75" customHeight="1" x14ac:dyDescent="0.25">
      <c r="A322" s="175"/>
    </row>
    <row r="323" spans="1:1" ht="15.75" customHeight="1" x14ac:dyDescent="0.25">
      <c r="A323" s="175"/>
    </row>
    <row r="324" spans="1:1" ht="15.75" customHeight="1" x14ac:dyDescent="0.25">
      <c r="A324" s="175"/>
    </row>
    <row r="325" spans="1:1" ht="15.75" customHeight="1" x14ac:dyDescent="0.25">
      <c r="A325" s="175"/>
    </row>
    <row r="326" spans="1:1" ht="15.75" customHeight="1" x14ac:dyDescent="0.25">
      <c r="A326" s="175"/>
    </row>
    <row r="327" spans="1:1" ht="15.75" customHeight="1" x14ac:dyDescent="0.25">
      <c r="A327" s="175"/>
    </row>
    <row r="328" spans="1:1" ht="15.75" customHeight="1" x14ac:dyDescent="0.25">
      <c r="A328" s="175"/>
    </row>
    <row r="329" spans="1:1" ht="15.75" customHeight="1" x14ac:dyDescent="0.25">
      <c r="A329" s="175"/>
    </row>
    <row r="330" spans="1:1" ht="15.75" customHeight="1" x14ac:dyDescent="0.25">
      <c r="A330" s="175"/>
    </row>
    <row r="331" spans="1:1" ht="15.75" customHeight="1" x14ac:dyDescent="0.25">
      <c r="A331" s="175"/>
    </row>
    <row r="332" spans="1:1" ht="15.75" customHeight="1" x14ac:dyDescent="0.25">
      <c r="A332" s="175"/>
    </row>
    <row r="333" spans="1:1" ht="15.75" customHeight="1" x14ac:dyDescent="0.25">
      <c r="A333" s="175"/>
    </row>
    <row r="334" spans="1:1" ht="15.75" customHeight="1" x14ac:dyDescent="0.25">
      <c r="A334" s="175"/>
    </row>
    <row r="335" spans="1:1" ht="15.75" customHeight="1" x14ac:dyDescent="0.25">
      <c r="A335" s="175"/>
    </row>
    <row r="336" spans="1:1" ht="15.75" customHeight="1" x14ac:dyDescent="0.25">
      <c r="A336" s="175"/>
    </row>
    <row r="337" spans="1:1" ht="15.75" customHeight="1" x14ac:dyDescent="0.25">
      <c r="A337" s="175"/>
    </row>
    <row r="338" spans="1:1" ht="15.75" customHeight="1" x14ac:dyDescent="0.25">
      <c r="A338" s="175"/>
    </row>
    <row r="339" spans="1:1" ht="15.75" customHeight="1" x14ac:dyDescent="0.25">
      <c r="A339" s="175"/>
    </row>
    <row r="340" spans="1:1" ht="15.75" customHeight="1" x14ac:dyDescent="0.25">
      <c r="A340" s="175"/>
    </row>
    <row r="341" spans="1:1" ht="15.75" customHeight="1" x14ac:dyDescent="0.25">
      <c r="A341" s="175"/>
    </row>
    <row r="342" spans="1:1" ht="15.75" customHeight="1" x14ac:dyDescent="0.25">
      <c r="A342" s="175"/>
    </row>
    <row r="343" spans="1:1" ht="15.75" customHeight="1" x14ac:dyDescent="0.25">
      <c r="A343" s="175"/>
    </row>
    <row r="344" spans="1:1" ht="15.75" customHeight="1" x14ac:dyDescent="0.25">
      <c r="A344" s="175"/>
    </row>
    <row r="345" spans="1:1" ht="15.75" customHeight="1" x14ac:dyDescent="0.25">
      <c r="A345" s="175"/>
    </row>
    <row r="346" spans="1:1" ht="15.75" customHeight="1" x14ac:dyDescent="0.25">
      <c r="A346" s="175"/>
    </row>
    <row r="347" spans="1:1" ht="15.75" customHeight="1" x14ac:dyDescent="0.25">
      <c r="A347" s="175"/>
    </row>
    <row r="348" spans="1:1" ht="15.75" customHeight="1" x14ac:dyDescent="0.25">
      <c r="A348" s="175"/>
    </row>
    <row r="349" spans="1:1" ht="15.75" customHeight="1" x14ac:dyDescent="0.25">
      <c r="A349" s="175"/>
    </row>
    <row r="350" spans="1:1" ht="15.75" customHeight="1" x14ac:dyDescent="0.25">
      <c r="A350" s="175"/>
    </row>
    <row r="351" spans="1:1" ht="15.75" customHeight="1" x14ac:dyDescent="0.25">
      <c r="A351" s="175"/>
    </row>
    <row r="352" spans="1:1" ht="15.75" customHeight="1" x14ac:dyDescent="0.25">
      <c r="A352" s="175"/>
    </row>
    <row r="353" spans="1:1" ht="15.75" customHeight="1" x14ac:dyDescent="0.25">
      <c r="A353" s="175"/>
    </row>
    <row r="354" spans="1:1" ht="15.75" customHeight="1" x14ac:dyDescent="0.25">
      <c r="A354" s="175"/>
    </row>
    <row r="355" spans="1:1" ht="15.75" customHeight="1" x14ac:dyDescent="0.25">
      <c r="A355" s="175"/>
    </row>
    <row r="356" spans="1:1" ht="15.75" customHeight="1" x14ac:dyDescent="0.25">
      <c r="A356" s="175"/>
    </row>
    <row r="357" spans="1:1" ht="15.75" customHeight="1" x14ac:dyDescent="0.25">
      <c r="A357" s="175"/>
    </row>
    <row r="358" spans="1:1" ht="15.75" customHeight="1" x14ac:dyDescent="0.25">
      <c r="A358" s="175"/>
    </row>
    <row r="359" spans="1:1" ht="15.75" customHeight="1" x14ac:dyDescent="0.25">
      <c r="A359" s="175"/>
    </row>
    <row r="360" spans="1:1" ht="15.75" customHeight="1" x14ac:dyDescent="0.25">
      <c r="A360" s="175"/>
    </row>
    <row r="361" spans="1:1" ht="15.75" customHeight="1" x14ac:dyDescent="0.25">
      <c r="A361" s="175"/>
    </row>
    <row r="362" spans="1:1" ht="15.75" customHeight="1" x14ac:dyDescent="0.25">
      <c r="A362" s="175"/>
    </row>
    <row r="363" spans="1:1" ht="15.75" customHeight="1" x14ac:dyDescent="0.25">
      <c r="A363" s="175"/>
    </row>
    <row r="364" spans="1:1" ht="15.75" customHeight="1" x14ac:dyDescent="0.25">
      <c r="A364" s="175"/>
    </row>
    <row r="365" spans="1:1" ht="15.75" customHeight="1" x14ac:dyDescent="0.25">
      <c r="A365" s="175"/>
    </row>
    <row r="366" spans="1:1" ht="15.75" customHeight="1" x14ac:dyDescent="0.25">
      <c r="A366" s="175"/>
    </row>
    <row r="367" spans="1:1" ht="15.75" customHeight="1" x14ac:dyDescent="0.25">
      <c r="A367" s="175"/>
    </row>
    <row r="368" spans="1:1" ht="15.75" customHeight="1" x14ac:dyDescent="0.25">
      <c r="A368" s="175"/>
    </row>
    <row r="369" spans="1:1" ht="15.75" customHeight="1" x14ac:dyDescent="0.25">
      <c r="A369" s="175"/>
    </row>
    <row r="370" spans="1:1" ht="15.75" customHeight="1" x14ac:dyDescent="0.25">
      <c r="A370" s="175"/>
    </row>
    <row r="371" spans="1:1" ht="15.75" customHeight="1" x14ac:dyDescent="0.25">
      <c r="A371" s="175"/>
    </row>
    <row r="372" spans="1:1" ht="15.75" customHeight="1" x14ac:dyDescent="0.25">
      <c r="A372" s="175"/>
    </row>
    <row r="373" spans="1:1" ht="15.75" customHeight="1" x14ac:dyDescent="0.25">
      <c r="A373" s="175"/>
    </row>
    <row r="374" spans="1:1" ht="15.75" customHeight="1" x14ac:dyDescent="0.25">
      <c r="A374" s="175"/>
    </row>
    <row r="375" spans="1:1" ht="15.75" customHeight="1" x14ac:dyDescent="0.25">
      <c r="A375" s="175"/>
    </row>
    <row r="376" spans="1:1" ht="15.75" customHeight="1" x14ac:dyDescent="0.25">
      <c r="A376" s="175"/>
    </row>
    <row r="377" spans="1:1" ht="15.75" customHeight="1" x14ac:dyDescent="0.25">
      <c r="A377" s="175"/>
    </row>
    <row r="378" spans="1:1" ht="15.75" customHeight="1" x14ac:dyDescent="0.25">
      <c r="A378" s="175"/>
    </row>
    <row r="379" spans="1:1" ht="15.75" customHeight="1" x14ac:dyDescent="0.25">
      <c r="A379" s="175"/>
    </row>
    <row r="380" spans="1:1" ht="15.75" customHeight="1" x14ac:dyDescent="0.25">
      <c r="A380" s="175"/>
    </row>
    <row r="381" spans="1:1" ht="15.75" customHeight="1" x14ac:dyDescent="0.25">
      <c r="A381" s="175"/>
    </row>
    <row r="382" spans="1:1" ht="15.75" customHeight="1" x14ac:dyDescent="0.25">
      <c r="A382" s="175"/>
    </row>
    <row r="383" spans="1:1" ht="15.75" customHeight="1" x14ac:dyDescent="0.25">
      <c r="A383" s="175"/>
    </row>
    <row r="384" spans="1:1" ht="15.75" customHeight="1" x14ac:dyDescent="0.25">
      <c r="A384" s="175"/>
    </row>
    <row r="385" spans="1:1" ht="15.75" customHeight="1" x14ac:dyDescent="0.25">
      <c r="A385" s="175"/>
    </row>
    <row r="386" spans="1:1" ht="15.75" customHeight="1" x14ac:dyDescent="0.25">
      <c r="A386" s="175"/>
    </row>
    <row r="387" spans="1:1" ht="15.75" customHeight="1" x14ac:dyDescent="0.25">
      <c r="A387" s="175"/>
    </row>
    <row r="388" spans="1:1" ht="15.75" customHeight="1" x14ac:dyDescent="0.25">
      <c r="A388" s="175"/>
    </row>
    <row r="389" spans="1:1" ht="15.75" customHeight="1" x14ac:dyDescent="0.25">
      <c r="A389" s="175"/>
    </row>
    <row r="390" spans="1:1" ht="15.75" customHeight="1" x14ac:dyDescent="0.25">
      <c r="A390" s="175"/>
    </row>
    <row r="391" spans="1:1" ht="15.75" customHeight="1" x14ac:dyDescent="0.25">
      <c r="A391" s="175"/>
    </row>
    <row r="392" spans="1:1" ht="15.75" customHeight="1" x14ac:dyDescent="0.25">
      <c r="A392" s="175"/>
    </row>
    <row r="393" spans="1:1" ht="15.75" customHeight="1" x14ac:dyDescent="0.25">
      <c r="A393" s="175"/>
    </row>
    <row r="394" spans="1:1" ht="15.75" customHeight="1" x14ac:dyDescent="0.25">
      <c r="A394" s="175"/>
    </row>
    <row r="395" spans="1:1" ht="15.75" customHeight="1" x14ac:dyDescent="0.25">
      <c r="A395" s="175"/>
    </row>
    <row r="396" spans="1:1" ht="15.75" customHeight="1" x14ac:dyDescent="0.25">
      <c r="A396" s="175"/>
    </row>
    <row r="397" spans="1:1" ht="15.75" customHeight="1" x14ac:dyDescent="0.25">
      <c r="A397" s="175"/>
    </row>
    <row r="398" spans="1:1" ht="15.75" customHeight="1" x14ac:dyDescent="0.25">
      <c r="A398" s="175"/>
    </row>
    <row r="399" spans="1:1" ht="15.75" customHeight="1" x14ac:dyDescent="0.25">
      <c r="A399" s="175"/>
    </row>
    <row r="400" spans="1:1" ht="15.75" customHeight="1" x14ac:dyDescent="0.25">
      <c r="A400" s="175"/>
    </row>
    <row r="401" spans="1:1" ht="15.75" customHeight="1" x14ac:dyDescent="0.25">
      <c r="A401" s="175"/>
    </row>
    <row r="402" spans="1:1" ht="15.75" customHeight="1" x14ac:dyDescent="0.25">
      <c r="A402" s="175"/>
    </row>
    <row r="403" spans="1:1" ht="15.75" customHeight="1" x14ac:dyDescent="0.25">
      <c r="A403" s="175"/>
    </row>
    <row r="404" spans="1:1" ht="15.75" customHeight="1" x14ac:dyDescent="0.25">
      <c r="A404" s="175"/>
    </row>
    <row r="405" spans="1:1" ht="15.75" customHeight="1" x14ac:dyDescent="0.25">
      <c r="A405" s="175"/>
    </row>
    <row r="406" spans="1:1" ht="15.75" customHeight="1" x14ac:dyDescent="0.25">
      <c r="A406" s="175"/>
    </row>
    <row r="407" spans="1:1" ht="15.75" customHeight="1" x14ac:dyDescent="0.25">
      <c r="A407" s="175"/>
    </row>
    <row r="408" spans="1:1" ht="15.75" customHeight="1" x14ac:dyDescent="0.25">
      <c r="A408" s="175"/>
    </row>
    <row r="409" spans="1:1" ht="15.75" customHeight="1" x14ac:dyDescent="0.25">
      <c r="A409" s="175"/>
    </row>
    <row r="410" spans="1:1" ht="15.75" customHeight="1" x14ac:dyDescent="0.25">
      <c r="A410" s="175"/>
    </row>
    <row r="411" spans="1:1" ht="15.75" customHeight="1" x14ac:dyDescent="0.25">
      <c r="A411" s="175"/>
    </row>
    <row r="412" spans="1:1" ht="15.75" customHeight="1" x14ac:dyDescent="0.25">
      <c r="A412" s="175"/>
    </row>
    <row r="413" spans="1:1" ht="15.75" customHeight="1" x14ac:dyDescent="0.25">
      <c r="A413" s="175"/>
    </row>
    <row r="414" spans="1:1" ht="15.75" customHeight="1" x14ac:dyDescent="0.25">
      <c r="A414" s="175"/>
    </row>
    <row r="415" spans="1:1" ht="15.75" customHeight="1" x14ac:dyDescent="0.25">
      <c r="A415" s="175"/>
    </row>
    <row r="416" spans="1:1" ht="15.75" customHeight="1" x14ac:dyDescent="0.25">
      <c r="A416" s="175"/>
    </row>
    <row r="417" spans="1:1" ht="15.75" customHeight="1" x14ac:dyDescent="0.25">
      <c r="A417" s="175"/>
    </row>
    <row r="418" spans="1:1" ht="15.75" customHeight="1" x14ac:dyDescent="0.25">
      <c r="A418" s="175"/>
    </row>
    <row r="419" spans="1:1" ht="15.75" customHeight="1" x14ac:dyDescent="0.25">
      <c r="A419" s="175"/>
    </row>
    <row r="420" spans="1:1" ht="15.75" customHeight="1" x14ac:dyDescent="0.25">
      <c r="A420" s="175"/>
    </row>
    <row r="421" spans="1:1" ht="15.75" customHeight="1" x14ac:dyDescent="0.25">
      <c r="A421" s="175"/>
    </row>
    <row r="422" spans="1:1" ht="15.75" customHeight="1" x14ac:dyDescent="0.25">
      <c r="A422" s="175"/>
    </row>
    <row r="423" spans="1:1" ht="15.75" customHeight="1" x14ac:dyDescent="0.25">
      <c r="A423" s="175"/>
    </row>
    <row r="424" spans="1:1" ht="15.75" customHeight="1" x14ac:dyDescent="0.25">
      <c r="A424" s="175"/>
    </row>
    <row r="425" spans="1:1" ht="15.75" customHeight="1" x14ac:dyDescent="0.25">
      <c r="A425" s="175"/>
    </row>
    <row r="426" spans="1:1" ht="15.75" customHeight="1" x14ac:dyDescent="0.25">
      <c r="A426" s="175"/>
    </row>
    <row r="427" spans="1:1" ht="15.75" customHeight="1" x14ac:dyDescent="0.25">
      <c r="A427" s="175"/>
    </row>
    <row r="428" spans="1:1" ht="15.75" customHeight="1" x14ac:dyDescent="0.25">
      <c r="A428" s="175"/>
    </row>
    <row r="429" spans="1:1" ht="15.75" customHeight="1" x14ac:dyDescent="0.25">
      <c r="A429" s="175"/>
    </row>
    <row r="430" spans="1:1" ht="15.75" customHeight="1" x14ac:dyDescent="0.25">
      <c r="A430" s="175"/>
    </row>
    <row r="431" spans="1:1" ht="15.75" customHeight="1" x14ac:dyDescent="0.25">
      <c r="A431" s="175"/>
    </row>
    <row r="432" spans="1:1" ht="15.75" customHeight="1" x14ac:dyDescent="0.25">
      <c r="A432" s="175"/>
    </row>
    <row r="433" spans="1:1" ht="15.75" customHeight="1" x14ac:dyDescent="0.25">
      <c r="A433" s="175"/>
    </row>
    <row r="434" spans="1:1" ht="15.75" customHeight="1" x14ac:dyDescent="0.25">
      <c r="A434" s="175"/>
    </row>
    <row r="435" spans="1:1" ht="15.75" customHeight="1" x14ac:dyDescent="0.25">
      <c r="A435" s="175"/>
    </row>
    <row r="436" spans="1:1" ht="15.75" customHeight="1" x14ac:dyDescent="0.25">
      <c r="A436" s="175"/>
    </row>
    <row r="437" spans="1:1" ht="15.75" customHeight="1" x14ac:dyDescent="0.25">
      <c r="A437" s="175"/>
    </row>
    <row r="438" spans="1:1" ht="15.75" customHeight="1" x14ac:dyDescent="0.25">
      <c r="A438" s="175"/>
    </row>
    <row r="439" spans="1:1" ht="15.75" customHeight="1" x14ac:dyDescent="0.25">
      <c r="A439" s="175"/>
    </row>
    <row r="440" spans="1:1" ht="15.75" customHeight="1" x14ac:dyDescent="0.25">
      <c r="A440" s="175"/>
    </row>
    <row r="441" spans="1:1" ht="15.75" customHeight="1" x14ac:dyDescent="0.25">
      <c r="A441" s="175"/>
    </row>
    <row r="442" spans="1:1" ht="15.75" customHeight="1" x14ac:dyDescent="0.25">
      <c r="A442" s="175"/>
    </row>
    <row r="443" spans="1:1" ht="15.75" customHeight="1" x14ac:dyDescent="0.25">
      <c r="A443" s="175"/>
    </row>
    <row r="444" spans="1:1" ht="15.75" customHeight="1" x14ac:dyDescent="0.25">
      <c r="A444" s="175"/>
    </row>
    <row r="445" spans="1:1" ht="15.75" customHeight="1" x14ac:dyDescent="0.25">
      <c r="A445" s="175"/>
    </row>
    <row r="446" spans="1:1" ht="15.75" customHeight="1" x14ac:dyDescent="0.25">
      <c r="A446" s="175"/>
    </row>
    <row r="447" spans="1:1" ht="15.75" customHeight="1" x14ac:dyDescent="0.25">
      <c r="A447" s="175"/>
    </row>
    <row r="448" spans="1:1" ht="15.75" customHeight="1" x14ac:dyDescent="0.25">
      <c r="A448" s="175"/>
    </row>
    <row r="449" spans="1:1" ht="15.75" customHeight="1" x14ac:dyDescent="0.25">
      <c r="A449" s="175"/>
    </row>
    <row r="450" spans="1:1" ht="15.75" customHeight="1" x14ac:dyDescent="0.25">
      <c r="A450" s="175"/>
    </row>
    <row r="451" spans="1:1" ht="15.75" customHeight="1" x14ac:dyDescent="0.25">
      <c r="A451" s="175"/>
    </row>
    <row r="452" spans="1:1" ht="15.75" customHeight="1" x14ac:dyDescent="0.25">
      <c r="A452" s="175"/>
    </row>
    <row r="453" spans="1:1" ht="15.75" customHeight="1" x14ac:dyDescent="0.25">
      <c r="A453" s="175"/>
    </row>
    <row r="454" spans="1:1" ht="15.75" customHeight="1" x14ac:dyDescent="0.25">
      <c r="A454" s="175"/>
    </row>
    <row r="455" spans="1:1" ht="15.75" customHeight="1" x14ac:dyDescent="0.25">
      <c r="A455" s="175"/>
    </row>
    <row r="456" spans="1:1" ht="15.75" customHeight="1" x14ac:dyDescent="0.25">
      <c r="A456" s="175"/>
    </row>
    <row r="457" spans="1:1" ht="15.75" customHeight="1" x14ac:dyDescent="0.25">
      <c r="A457" s="175"/>
    </row>
    <row r="458" spans="1:1" ht="15.75" customHeight="1" x14ac:dyDescent="0.25">
      <c r="A458" s="175"/>
    </row>
    <row r="459" spans="1:1" ht="15.75" customHeight="1" x14ac:dyDescent="0.25">
      <c r="A459" s="175"/>
    </row>
    <row r="460" spans="1:1" ht="15.75" customHeight="1" x14ac:dyDescent="0.25">
      <c r="A460" s="175"/>
    </row>
    <row r="461" spans="1:1" ht="15.75" customHeight="1" x14ac:dyDescent="0.25">
      <c r="A461" s="175"/>
    </row>
    <row r="462" spans="1:1" ht="15.75" customHeight="1" x14ac:dyDescent="0.25">
      <c r="A462" s="175"/>
    </row>
    <row r="463" spans="1:1" ht="15.75" customHeight="1" x14ac:dyDescent="0.25">
      <c r="A463" s="175"/>
    </row>
    <row r="464" spans="1:1" ht="15.75" customHeight="1" x14ac:dyDescent="0.25">
      <c r="A464" s="175"/>
    </row>
    <row r="465" spans="1:1" ht="15.75" customHeight="1" x14ac:dyDescent="0.25">
      <c r="A465" s="175"/>
    </row>
    <row r="466" spans="1:1" ht="15.75" customHeight="1" x14ac:dyDescent="0.25">
      <c r="A466" s="175"/>
    </row>
    <row r="467" spans="1:1" ht="15.75" customHeight="1" x14ac:dyDescent="0.25"/>
    <row r="468" spans="1:1" ht="15.75" customHeight="1" x14ac:dyDescent="0.25"/>
    <row r="469" spans="1:1" ht="15.75" customHeight="1" x14ac:dyDescent="0.25"/>
    <row r="470" spans="1:1" ht="15.75" customHeight="1" x14ac:dyDescent="0.25"/>
    <row r="471" spans="1:1" ht="15.75" customHeight="1" x14ac:dyDescent="0.25"/>
    <row r="472" spans="1:1" ht="15.75" customHeight="1" x14ac:dyDescent="0.25"/>
    <row r="473" spans="1:1" ht="15.75" customHeight="1" x14ac:dyDescent="0.25"/>
    <row r="474" spans="1:1" ht="15.75" customHeight="1" x14ac:dyDescent="0.25"/>
    <row r="475" spans="1:1" ht="15.75" customHeight="1" x14ac:dyDescent="0.25"/>
    <row r="476" spans="1:1" ht="15.75" customHeight="1" x14ac:dyDescent="0.25"/>
    <row r="477" spans="1:1" ht="15.75" customHeight="1" x14ac:dyDescent="0.25"/>
    <row r="478" spans="1:1" ht="15.75" customHeight="1" x14ac:dyDescent="0.25"/>
    <row r="479" spans="1:1" ht="15.75" customHeight="1" x14ac:dyDescent="0.25"/>
    <row r="480" spans="1:1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VIVIENDA</vt:lpstr>
      <vt:lpstr>Escenarios Rentabilidad</vt:lpstr>
      <vt:lpstr>PATRIMONIO creado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Reseco</dc:creator>
  <cp:lastModifiedBy>Daniel Reseco</cp:lastModifiedBy>
  <dcterms:created xsi:type="dcterms:W3CDTF">2022-05-03T07:07:53Z</dcterms:created>
  <dcterms:modified xsi:type="dcterms:W3CDTF">2025-07-19T07:32:44Z</dcterms:modified>
</cp:coreProperties>
</file>